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scensionpg-my.sharepoint.com/personal/devin_russ_apgov_us/Documents/Documents/"/>
    </mc:Choice>
  </mc:AlternateContent>
  <xr:revisionPtr revIDLastSave="4" documentId="8_{20AA91E0-8698-4417-803B-685881D79848}" xr6:coauthVersionLast="47" xr6:coauthVersionMax="47" xr10:uidLastSave="{56FF7842-B10D-43DE-B239-09EAB0806044}"/>
  <bookViews>
    <workbookView minimized="1" xWindow="0" yWindow="4110" windowWidth="21600" windowHeight="11385" xr2:uid="{0CDE6004-2EAE-4BC9-9164-312346D9AEA6}"/>
  </bookViews>
  <sheets>
    <sheet name="Data" sheetId="1" r:id="rId1"/>
    <sheet name="SOQ" sheetId="6" r:id="rId2"/>
    <sheet name="Map" sheetId="4" r:id="rId3"/>
    <sheet name="Reference" sheetId="2" r:id="rId4"/>
    <sheet name="Data (2)" sheetId="5" r:id="rId5"/>
  </sheets>
  <definedNames>
    <definedName name="_xlnm._FilterDatabase" localSheetId="0" hidden="1">Data!$A$5:$BP$104</definedName>
    <definedName name="_xlnm._FilterDatabase" localSheetId="4" hidden="1">'Data (2)'!$A$2:$AY$78</definedName>
    <definedName name="_xlnm.Print_Area" localSheetId="0">Data!$A$3:$BP$108</definedName>
    <definedName name="_xlnm.Print_Area" localSheetId="4">'Data (2)'!$A$1:$BI$78</definedName>
    <definedName name="_xlnm.Print_Titles" localSheetId="0">Data!#REF!,Data!$3:$5</definedName>
    <definedName name="_xlnm.Print_Titles" localSheetId="4">'Data (2)'!$A:$A,'Data (2)'!$1:$2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102" i="1" l="1"/>
  <c r="BM106" i="1" s="1"/>
  <c r="BH102" i="1" a="1"/>
  <c r="BH102" i="1" s="1"/>
  <c r="BH86" i="1" a="1"/>
  <c r="BH86" i="1" s="1"/>
  <c r="BH90" i="1" s="1"/>
  <c r="BF102" i="1"/>
  <c r="BF106" i="1" s="1"/>
  <c r="BD102" i="1"/>
  <c r="BD106" i="1" s="1"/>
  <c r="BC102" i="1"/>
  <c r="AT102" i="1"/>
  <c r="J20" i="6" s="1"/>
  <c r="AR102" i="1"/>
  <c r="J19" i="6" s="1"/>
  <c r="M19" i="6" s="1"/>
  <c r="AR106" i="1"/>
  <c r="AJ102" i="1"/>
  <c r="AJ104" i="1" s="1"/>
  <c r="AI102" i="1"/>
  <c r="AE102" i="1"/>
  <c r="AB102" i="1"/>
  <c r="AA102" i="1"/>
  <c r="Z102" i="1"/>
  <c r="Y102" i="1"/>
  <c r="X102" i="1"/>
  <c r="W102" i="1"/>
  <c r="W106" i="1" s="1"/>
  <c r="V102" i="1"/>
  <c r="U102" i="1"/>
  <c r="T102" i="1"/>
  <c r="S102" i="1"/>
  <c r="BO106" i="1"/>
  <c r="BL106" i="1"/>
  <c r="BK106" i="1"/>
  <c r="BC106" i="1"/>
  <c r="BB106" i="1"/>
  <c r="BA106" i="1"/>
  <c r="AZ106" i="1"/>
  <c r="AY106" i="1"/>
  <c r="AX106" i="1"/>
  <c r="AW106" i="1"/>
  <c r="AV106" i="1"/>
  <c r="AT106" i="1"/>
  <c r="AQ106" i="1"/>
  <c r="AP106" i="1"/>
  <c r="AO106" i="1"/>
  <c r="AN106" i="1"/>
  <c r="AM106" i="1"/>
  <c r="AI106" i="1"/>
  <c r="AH106" i="1"/>
  <c r="AA106" i="1"/>
  <c r="Z106" i="1"/>
  <c r="Y106" i="1"/>
  <c r="X106" i="1"/>
  <c r="V106" i="1"/>
  <c r="U106" i="1"/>
  <c r="T106" i="1"/>
  <c r="S106" i="1"/>
  <c r="BL90" i="1"/>
  <c r="BK90" i="1"/>
  <c r="BB90" i="1"/>
  <c r="BA90" i="1"/>
  <c r="AZ90" i="1"/>
  <c r="AY90" i="1"/>
  <c r="AX90" i="1"/>
  <c r="AW90" i="1"/>
  <c r="AV90" i="1"/>
  <c r="AQ90" i="1"/>
  <c r="AP90" i="1"/>
  <c r="AO90" i="1"/>
  <c r="AN90" i="1"/>
  <c r="AM90" i="1"/>
  <c r="AI90" i="1"/>
  <c r="Y90" i="1"/>
  <c r="W90" i="1"/>
  <c r="AJ86" i="1"/>
  <c r="AJ88" i="1" s="1"/>
  <c r="AM52" i="1"/>
  <c r="AN52" i="1"/>
  <c r="AO52" i="1"/>
  <c r="AP52" i="1"/>
  <c r="AQ52" i="1"/>
  <c r="AV52" i="1"/>
  <c r="AW52" i="1"/>
  <c r="AX52" i="1"/>
  <c r="AY52" i="1"/>
  <c r="AZ52" i="1"/>
  <c r="BA52" i="1"/>
  <c r="BB52" i="1"/>
  <c r="BK52" i="1"/>
  <c r="BL52" i="1"/>
  <c r="AJ48" i="1"/>
  <c r="AJ50" i="1" s="1"/>
  <c r="BD86" i="1"/>
  <c r="BD90" i="1" s="1"/>
  <c r="BF86" i="1"/>
  <c r="BF90" i="1" s="1"/>
  <c r="BM86" i="1"/>
  <c r="F27" i="6" s="1"/>
  <c r="BO86" i="1"/>
  <c r="F28" i="6" s="1"/>
  <c r="I28" i="6" s="1"/>
  <c r="AT86" i="1"/>
  <c r="AT90" i="1" s="1"/>
  <c r="AR86" i="1"/>
  <c r="AR90" i="1" s="1"/>
  <c r="AI86" i="1"/>
  <c r="AA86" i="1"/>
  <c r="AA90" i="1" s="1"/>
  <c r="AB86" i="1"/>
  <c r="AB90" i="1" s="1"/>
  <c r="AE86" i="1"/>
  <c r="AE90" i="1" s="1"/>
  <c r="AH86" i="1"/>
  <c r="AH88" i="1" s="1"/>
  <c r="Z86" i="1"/>
  <c r="Z90" i="1" s="1"/>
  <c r="Y86" i="1"/>
  <c r="X86" i="1"/>
  <c r="X90" i="1" s="1"/>
  <c r="W86" i="1"/>
  <c r="BH48" i="1" a="1"/>
  <c r="BH48" i="1" s="1"/>
  <c r="BH52" i="1" s="1"/>
  <c r="AI48" i="1"/>
  <c r="AI50" i="1" s="1"/>
  <c r="AH48" i="1"/>
  <c r="B16" i="6" s="1"/>
  <c r="AE48" i="1"/>
  <c r="AE52" i="1" s="1"/>
  <c r="AB48" i="1"/>
  <c r="AB52" i="1" s="1"/>
  <c r="BM48" i="1"/>
  <c r="B27" i="6" s="1"/>
  <c r="E27" i="6" s="1"/>
  <c r="BF48" i="1"/>
  <c r="BF52" i="1" s="1"/>
  <c r="BD48" i="1"/>
  <c r="BD52" i="1" s="1"/>
  <c r="AR48" i="1"/>
  <c r="AR52" i="1" s="1"/>
  <c r="AT48" i="1"/>
  <c r="AT52" i="1" s="1"/>
  <c r="AA48" i="1"/>
  <c r="AA52" i="1" s="1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9" i="6"/>
  <c r="S9" i="6"/>
  <c r="T7" i="6"/>
  <c r="S7" i="6"/>
  <c r="T6" i="6"/>
  <c r="S6" i="6"/>
  <c r="T5" i="6"/>
  <c r="S5" i="6"/>
  <c r="T4" i="6"/>
  <c r="S4" i="6"/>
  <c r="T3" i="6"/>
  <c r="S3" i="6"/>
  <c r="O4" i="6"/>
  <c r="P4" i="6"/>
  <c r="O5" i="6"/>
  <c r="P5" i="6"/>
  <c r="O6" i="6"/>
  <c r="P6" i="6"/>
  <c r="O7" i="6"/>
  <c r="P7" i="6"/>
  <c r="O9" i="6"/>
  <c r="P9" i="6"/>
  <c r="O11" i="6"/>
  <c r="P11" i="6"/>
  <c r="O12" i="6"/>
  <c r="P12" i="6"/>
  <c r="O13" i="6"/>
  <c r="P13" i="6"/>
  <c r="O14" i="6"/>
  <c r="P14" i="6"/>
  <c r="O15" i="6"/>
  <c r="P15" i="6"/>
  <c r="O16" i="6"/>
  <c r="P16" i="6"/>
  <c r="O17" i="6"/>
  <c r="P17" i="6"/>
  <c r="O18" i="6"/>
  <c r="P18" i="6"/>
  <c r="O19" i="6"/>
  <c r="P19" i="6"/>
  <c r="O20" i="6"/>
  <c r="P20" i="6"/>
  <c r="O21" i="6"/>
  <c r="O22" i="6"/>
  <c r="P22" i="6"/>
  <c r="O23" i="6"/>
  <c r="P23" i="6"/>
  <c r="O24" i="6"/>
  <c r="P24" i="6"/>
  <c r="O25" i="6"/>
  <c r="P25" i="6"/>
  <c r="O26" i="6"/>
  <c r="P26" i="6"/>
  <c r="O27" i="6"/>
  <c r="P27" i="6"/>
  <c r="O28" i="6"/>
  <c r="P28" i="6"/>
  <c r="P3" i="6"/>
  <c r="O3" i="6"/>
  <c r="J26" i="6"/>
  <c r="M26" i="6" s="1"/>
  <c r="J25" i="6"/>
  <c r="G26" i="6"/>
  <c r="K4" i="6"/>
  <c r="L4" i="6"/>
  <c r="K5" i="6"/>
  <c r="L5" i="6"/>
  <c r="K6" i="6"/>
  <c r="L6" i="6"/>
  <c r="K7" i="6"/>
  <c r="L7" i="6"/>
  <c r="K9" i="6"/>
  <c r="L9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L3" i="6"/>
  <c r="K3" i="6"/>
  <c r="H4" i="6"/>
  <c r="H5" i="6"/>
  <c r="H6" i="6"/>
  <c r="H7" i="6"/>
  <c r="H9" i="6"/>
  <c r="H11" i="6"/>
  <c r="H12" i="6"/>
  <c r="H13" i="6"/>
  <c r="H14" i="6"/>
  <c r="H15" i="6"/>
  <c r="H16" i="6"/>
  <c r="H17" i="6"/>
  <c r="H18" i="6"/>
  <c r="H19" i="6"/>
  <c r="H20" i="6"/>
  <c r="H22" i="6"/>
  <c r="H23" i="6"/>
  <c r="H24" i="6"/>
  <c r="H25" i="6"/>
  <c r="I25" i="6" s="1"/>
  <c r="H26" i="6"/>
  <c r="H27" i="6"/>
  <c r="H28" i="6"/>
  <c r="H3" i="6"/>
  <c r="G4" i="6"/>
  <c r="G5" i="6"/>
  <c r="G6" i="6"/>
  <c r="G7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7" i="6"/>
  <c r="G28" i="6"/>
  <c r="G3" i="6"/>
  <c r="BO102" i="1"/>
  <c r="J28" i="6" s="1"/>
  <c r="M28" i="6" s="1"/>
  <c r="BP100" i="1"/>
  <c r="BP99" i="1"/>
  <c r="BP98" i="1"/>
  <c r="BP97" i="1"/>
  <c r="BP96" i="1"/>
  <c r="BP95" i="1"/>
  <c r="BP94" i="1"/>
  <c r="BP93" i="1"/>
  <c r="BP92" i="1"/>
  <c r="BC100" i="1"/>
  <c r="BC99" i="1"/>
  <c r="BC98" i="1"/>
  <c r="BC97" i="1"/>
  <c r="BC96" i="1"/>
  <c r="BC95" i="1"/>
  <c r="BC94" i="1"/>
  <c r="BC93" i="1"/>
  <c r="BC92" i="1"/>
  <c r="AA100" i="1"/>
  <c r="Z100" i="1"/>
  <c r="Y100" i="1"/>
  <c r="X100" i="1"/>
  <c r="W100" i="1"/>
  <c r="V100" i="1"/>
  <c r="U100" i="1"/>
  <c r="AA99" i="1"/>
  <c r="Z99" i="1"/>
  <c r="Y99" i="1"/>
  <c r="X99" i="1"/>
  <c r="W99" i="1"/>
  <c r="V99" i="1"/>
  <c r="U99" i="1"/>
  <c r="AA98" i="1"/>
  <c r="Z98" i="1"/>
  <c r="Y98" i="1"/>
  <c r="X98" i="1"/>
  <c r="W98" i="1"/>
  <c r="V98" i="1"/>
  <c r="U98" i="1"/>
  <c r="AA97" i="1"/>
  <c r="Z97" i="1"/>
  <c r="Y97" i="1"/>
  <c r="X97" i="1"/>
  <c r="W97" i="1"/>
  <c r="V97" i="1"/>
  <c r="U97" i="1"/>
  <c r="AA96" i="1"/>
  <c r="Z96" i="1"/>
  <c r="Y96" i="1"/>
  <c r="X96" i="1"/>
  <c r="W96" i="1"/>
  <c r="V96" i="1"/>
  <c r="U96" i="1"/>
  <c r="AA95" i="1"/>
  <c r="Z95" i="1"/>
  <c r="Y95" i="1"/>
  <c r="X95" i="1"/>
  <c r="W95" i="1"/>
  <c r="V95" i="1"/>
  <c r="T95" i="1"/>
  <c r="S95" i="1"/>
  <c r="AA94" i="1"/>
  <c r="Z94" i="1"/>
  <c r="Y94" i="1"/>
  <c r="X94" i="1"/>
  <c r="W94" i="1"/>
  <c r="V94" i="1"/>
  <c r="T94" i="1"/>
  <c r="S94" i="1"/>
  <c r="AA93" i="1"/>
  <c r="Z93" i="1"/>
  <c r="Y93" i="1"/>
  <c r="X93" i="1"/>
  <c r="W93" i="1"/>
  <c r="V93" i="1"/>
  <c r="AA92" i="1"/>
  <c r="Z92" i="1"/>
  <c r="Y92" i="1"/>
  <c r="X92" i="1"/>
  <c r="W92" i="1"/>
  <c r="V92" i="1"/>
  <c r="U92" i="1"/>
  <c r="AA84" i="1"/>
  <c r="Z84" i="1"/>
  <c r="Y84" i="1"/>
  <c r="AA83" i="1"/>
  <c r="Z83" i="1"/>
  <c r="Y83" i="1"/>
  <c r="AA82" i="1"/>
  <c r="Z82" i="1"/>
  <c r="Y82" i="1"/>
  <c r="AA81" i="1"/>
  <c r="Z81" i="1"/>
  <c r="Y81" i="1"/>
  <c r="AA80" i="1"/>
  <c r="Z80" i="1"/>
  <c r="Y80" i="1"/>
  <c r="AA79" i="1"/>
  <c r="Z79" i="1"/>
  <c r="Y79" i="1"/>
  <c r="AA78" i="1"/>
  <c r="Z78" i="1"/>
  <c r="Y78" i="1"/>
  <c r="AA77" i="1"/>
  <c r="Z77" i="1"/>
  <c r="Y77" i="1"/>
  <c r="AA76" i="1"/>
  <c r="Z76" i="1"/>
  <c r="Y76" i="1"/>
  <c r="AA75" i="1"/>
  <c r="Z75" i="1"/>
  <c r="Y75" i="1"/>
  <c r="AA74" i="1"/>
  <c r="Z74" i="1"/>
  <c r="Y74" i="1"/>
  <c r="AA73" i="1"/>
  <c r="Z73" i="1"/>
  <c r="Y73" i="1"/>
  <c r="AA72" i="1"/>
  <c r="Z72" i="1"/>
  <c r="Y72" i="1"/>
  <c r="AA71" i="1"/>
  <c r="Z71" i="1"/>
  <c r="Y71" i="1"/>
  <c r="AA70" i="1"/>
  <c r="Z70" i="1"/>
  <c r="Y70" i="1"/>
  <c r="AA69" i="1"/>
  <c r="Z69" i="1"/>
  <c r="Y69" i="1"/>
  <c r="AA68" i="1"/>
  <c r="Z68" i="1"/>
  <c r="Y68" i="1"/>
  <c r="AA67" i="1"/>
  <c r="Z67" i="1"/>
  <c r="Y67" i="1"/>
  <c r="AA66" i="1"/>
  <c r="Z66" i="1"/>
  <c r="Y66" i="1"/>
  <c r="AA65" i="1"/>
  <c r="Z65" i="1"/>
  <c r="Y65" i="1"/>
  <c r="AA64" i="1"/>
  <c r="Z64" i="1"/>
  <c r="Y64" i="1"/>
  <c r="AA63" i="1"/>
  <c r="Z63" i="1"/>
  <c r="Y63" i="1"/>
  <c r="AA62" i="1"/>
  <c r="Z62" i="1"/>
  <c r="Y62" i="1"/>
  <c r="AA61" i="1"/>
  <c r="Z61" i="1"/>
  <c r="Y61" i="1"/>
  <c r="AA60" i="1"/>
  <c r="Z60" i="1"/>
  <c r="Y60" i="1"/>
  <c r="AA59" i="1"/>
  <c r="Z59" i="1"/>
  <c r="Y59" i="1"/>
  <c r="AA58" i="1"/>
  <c r="Z58" i="1"/>
  <c r="Y58" i="1"/>
  <c r="AA57" i="1"/>
  <c r="Z57" i="1"/>
  <c r="Y57" i="1"/>
  <c r="AA56" i="1"/>
  <c r="Z56" i="1"/>
  <c r="Y56" i="1"/>
  <c r="AA55" i="1"/>
  <c r="Z55" i="1"/>
  <c r="Y55" i="1"/>
  <c r="AA54" i="1"/>
  <c r="Z54" i="1"/>
  <c r="Y54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U84" i="1"/>
  <c r="U83" i="1"/>
  <c r="U82" i="1"/>
  <c r="U81" i="1"/>
  <c r="U80" i="1"/>
  <c r="U79" i="1"/>
  <c r="U76" i="1"/>
  <c r="U75" i="1"/>
  <c r="U71" i="1"/>
  <c r="BN94" i="1"/>
  <c r="BN95" i="1"/>
  <c r="BN96" i="1"/>
  <c r="BN97" i="1"/>
  <c r="BN98" i="1"/>
  <c r="BN99" i="1"/>
  <c r="BN100" i="1"/>
  <c r="BN93" i="1"/>
  <c r="BN92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55" i="1"/>
  <c r="BN54" i="1"/>
  <c r="BL104" i="1"/>
  <c r="BK104" i="1"/>
  <c r="BJ94" i="1"/>
  <c r="BJ95" i="1"/>
  <c r="BJ96" i="1"/>
  <c r="BJ97" i="1"/>
  <c r="BJ98" i="1"/>
  <c r="BJ99" i="1"/>
  <c r="BJ100" i="1"/>
  <c r="BJ93" i="1"/>
  <c r="BJ92" i="1"/>
  <c r="BG100" i="1"/>
  <c r="BG99" i="1"/>
  <c r="BG98" i="1"/>
  <c r="BG97" i="1"/>
  <c r="BG96" i="1"/>
  <c r="BG95" i="1"/>
  <c r="BG94" i="1"/>
  <c r="BG93" i="1"/>
  <c r="BG92" i="1"/>
  <c r="J23" i="6"/>
  <c r="BE92" i="1"/>
  <c r="BE94" i="1"/>
  <c r="BE95" i="1"/>
  <c r="BE96" i="1"/>
  <c r="BE97" i="1"/>
  <c r="BE98" i="1"/>
  <c r="BE99" i="1"/>
  <c r="BE100" i="1"/>
  <c r="BE93" i="1"/>
  <c r="J22" i="6"/>
  <c r="AU100" i="1"/>
  <c r="AU99" i="1"/>
  <c r="AU98" i="1"/>
  <c r="AU97" i="1"/>
  <c r="AU96" i="1"/>
  <c r="AU95" i="1"/>
  <c r="AU94" i="1"/>
  <c r="AU93" i="1"/>
  <c r="AU92" i="1"/>
  <c r="AS94" i="1"/>
  <c r="AS95" i="1"/>
  <c r="AS96" i="1"/>
  <c r="AS97" i="1"/>
  <c r="AS98" i="1"/>
  <c r="AS99" i="1"/>
  <c r="AS100" i="1"/>
  <c r="AS93" i="1"/>
  <c r="AS92" i="1"/>
  <c r="AI104" i="1"/>
  <c r="AH102" i="1"/>
  <c r="J16" i="6" s="1"/>
  <c r="M16" i="6" s="1"/>
  <c r="R104" i="1"/>
  <c r="Q104" i="1"/>
  <c r="P104" i="1"/>
  <c r="C104" i="1"/>
  <c r="BC103" i="1"/>
  <c r="J17" i="6"/>
  <c r="J13" i="6"/>
  <c r="J12" i="6"/>
  <c r="M12" i="6" s="1"/>
  <c r="J11" i="6"/>
  <c r="M11" i="6" s="1"/>
  <c r="J9" i="6"/>
  <c r="BC87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55" i="1"/>
  <c r="BC54" i="1"/>
  <c r="BC49" i="1"/>
  <c r="D21" i="6" s="1"/>
  <c r="H21" i="6" s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F26" i="6"/>
  <c r="I26" i="6" s="1"/>
  <c r="B26" i="6"/>
  <c r="E26" i="6" s="1"/>
  <c r="B25" i="6"/>
  <c r="E25" i="6" s="1"/>
  <c r="BP79" i="1"/>
  <c r="BP78" i="1"/>
  <c r="BP77" i="1"/>
  <c r="BP76" i="1"/>
  <c r="BP75" i="1"/>
  <c r="BP74" i="1"/>
  <c r="BP73" i="1"/>
  <c r="BP72" i="1"/>
  <c r="BP71" i="1"/>
  <c r="BP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3" i="1"/>
  <c r="BN44" i="1"/>
  <c r="BN45" i="1"/>
  <c r="BN46" i="1"/>
  <c r="BN42" i="1"/>
  <c r="BP80" i="1"/>
  <c r="BP81" i="1"/>
  <c r="BP82" i="1"/>
  <c r="BP83" i="1"/>
  <c r="BP84" i="1"/>
  <c r="BP54" i="1"/>
  <c r="BO48" i="1"/>
  <c r="B28" i="6" s="1"/>
  <c r="E28" i="6" s="1"/>
  <c r="BP46" i="1"/>
  <c r="BP45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M17" i="6" l="1"/>
  <c r="J24" i="6"/>
  <c r="M24" i="6" s="1"/>
  <c r="BH106" i="1"/>
  <c r="J7" i="6"/>
  <c r="M7" i="6" s="1"/>
  <c r="J6" i="6"/>
  <c r="M6" i="6" s="1"/>
  <c r="J18" i="6"/>
  <c r="M18" i="6" s="1"/>
  <c r="AH90" i="1"/>
  <c r="BM90" i="1"/>
  <c r="BO90" i="1"/>
  <c r="AJ90" i="1"/>
  <c r="AJ106" i="1" s="1"/>
  <c r="BO52" i="1"/>
  <c r="AH52" i="1"/>
  <c r="BM52" i="1"/>
  <c r="AI52" i="1"/>
  <c r="F18" i="6"/>
  <c r="I18" i="6" s="1"/>
  <c r="AJ52" i="1"/>
  <c r="BF104" i="1"/>
  <c r="BH104" i="1"/>
  <c r="B18" i="6"/>
  <c r="E18" i="6" s="1"/>
  <c r="BD104" i="1"/>
  <c r="BO104" i="1"/>
  <c r="Z104" i="1"/>
  <c r="BC48" i="1"/>
  <c r="T21" i="6"/>
  <c r="P21" i="6"/>
  <c r="BC86" i="1"/>
  <c r="R25" i="6"/>
  <c r="U25" i="6" s="1"/>
  <c r="AH104" i="1"/>
  <c r="M23" i="6"/>
  <c r="Y104" i="1"/>
  <c r="M22" i="6"/>
  <c r="AR104" i="1"/>
  <c r="M9" i="6"/>
  <c r="N25" i="6"/>
  <c r="Q25" i="6" s="1"/>
  <c r="M13" i="6"/>
  <c r="L21" i="6"/>
  <c r="N27" i="6"/>
  <c r="Q27" i="6" s="1"/>
  <c r="X104" i="1"/>
  <c r="AT104" i="1"/>
  <c r="N26" i="6"/>
  <c r="Q26" i="6" s="1"/>
  <c r="F16" i="6"/>
  <c r="I16" i="6" s="1"/>
  <c r="R28" i="6"/>
  <c r="U28" i="6" s="1"/>
  <c r="N28" i="6"/>
  <c r="Q28" i="6" s="1"/>
  <c r="R26" i="6"/>
  <c r="U26" i="6" s="1"/>
  <c r="E16" i="6"/>
  <c r="M25" i="6"/>
  <c r="M20" i="6"/>
  <c r="I27" i="6"/>
  <c r="W104" i="1"/>
  <c r="AA104" i="1"/>
  <c r="V104" i="1"/>
  <c r="BM104" i="1"/>
  <c r="AH50" i="1"/>
  <c r="B17" i="6"/>
  <c r="BO88" i="1"/>
  <c r="BM88" i="1"/>
  <c r="J27" i="6" s="1"/>
  <c r="M27" i="6" s="1"/>
  <c r="F24" i="6"/>
  <c r="I24" i="6" s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55" i="1"/>
  <c r="BJ54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56" i="1"/>
  <c r="BE57" i="1"/>
  <c r="BE58" i="1"/>
  <c r="BE59" i="1"/>
  <c r="BE60" i="1"/>
  <c r="BE55" i="1"/>
  <c r="BE54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F20" i="6"/>
  <c r="I20" i="6" s="1"/>
  <c r="F19" i="6"/>
  <c r="I19" i="6" s="1"/>
  <c r="AI88" i="1"/>
  <c r="F17" i="6"/>
  <c r="I17" i="6" s="1"/>
  <c r="F13" i="6"/>
  <c r="I13" i="6" s="1"/>
  <c r="F12" i="6"/>
  <c r="I12" i="6" s="1"/>
  <c r="F11" i="6"/>
  <c r="I11" i="6" s="1"/>
  <c r="F9" i="6"/>
  <c r="I9" i="6" s="1"/>
  <c r="F7" i="6"/>
  <c r="I7" i="6" s="1"/>
  <c r="AA88" i="1"/>
  <c r="Z88" i="1"/>
  <c r="Y88" i="1"/>
  <c r="X88" i="1"/>
  <c r="W88" i="1"/>
  <c r="R88" i="1"/>
  <c r="Q88" i="1"/>
  <c r="P88" i="1"/>
  <c r="C88" i="1"/>
  <c r="BL88" i="1"/>
  <c r="BK88" i="1"/>
  <c r="B24" i="6"/>
  <c r="BJ48" i="1" a="1"/>
  <c r="BJ48" i="1" s="1"/>
  <c r="BI48" i="1" a="1"/>
  <c r="BI48" i="1" s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23" i="6"/>
  <c r="B22" i="6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7" i="1"/>
  <c r="BG8" i="1"/>
  <c r="BG9" i="1"/>
  <c r="BG10" i="1"/>
  <c r="BG11" i="1"/>
  <c r="BG12" i="1"/>
  <c r="BG13" i="1"/>
  <c r="BG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6" i="1"/>
  <c r="B20" i="6"/>
  <c r="B19" i="6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6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7" i="1"/>
  <c r="AS8" i="1"/>
  <c r="AS9" i="1"/>
  <c r="AS10" i="1"/>
  <c r="AS6" i="1"/>
  <c r="BC88" i="1" l="1"/>
  <c r="BC90" i="1"/>
  <c r="B21" i="6"/>
  <c r="N21" i="6" s="1"/>
  <c r="Q21" i="6" s="1"/>
  <c r="BC52" i="1"/>
  <c r="R18" i="6"/>
  <c r="U18" i="6" s="1"/>
  <c r="N18" i="6"/>
  <c r="Q18" i="6" s="1"/>
  <c r="BC50" i="1"/>
  <c r="R16" i="6"/>
  <c r="U16" i="6" s="1"/>
  <c r="N16" i="6"/>
  <c r="Q16" i="6" s="1"/>
  <c r="BC104" i="1"/>
  <c r="J21" i="6"/>
  <c r="BD88" i="1"/>
  <c r="V86" i="1"/>
  <c r="R27" i="6"/>
  <c r="U27" i="6" s="1"/>
  <c r="E24" i="6"/>
  <c r="N24" i="6"/>
  <c r="Q24" i="6" s="1"/>
  <c r="R24" i="6"/>
  <c r="U24" i="6" s="1"/>
  <c r="E23" i="6"/>
  <c r="E22" i="6"/>
  <c r="E20" i="6"/>
  <c r="R20" i="6"/>
  <c r="U20" i="6" s="1"/>
  <c r="N20" i="6"/>
  <c r="Q20" i="6" s="1"/>
  <c r="E19" i="6"/>
  <c r="R19" i="6"/>
  <c r="U19" i="6" s="1"/>
  <c r="N19" i="6"/>
  <c r="Q19" i="6" s="1"/>
  <c r="E17" i="6"/>
  <c r="R17" i="6"/>
  <c r="U17" i="6" s="1"/>
  <c r="N17" i="6"/>
  <c r="Q17" i="6" s="1"/>
  <c r="BF88" i="1"/>
  <c r="AE50" i="1"/>
  <c r="F15" i="6" s="1"/>
  <c r="I15" i="6" s="1"/>
  <c r="B15" i="6"/>
  <c r="AB50" i="1"/>
  <c r="F14" i="6" s="1"/>
  <c r="I14" i="6" s="1"/>
  <c r="B14" i="6"/>
  <c r="BH88" i="1"/>
  <c r="AT88" i="1"/>
  <c r="AR88" i="1"/>
  <c r="BH50" i="1"/>
  <c r="AR50" i="1"/>
  <c r="BL50" i="1"/>
  <c r="BK50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6" i="1"/>
  <c r="B13" i="6"/>
  <c r="BO50" i="1"/>
  <c r="Z7" i="1"/>
  <c r="Z8" i="1"/>
  <c r="Z9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6" i="1"/>
  <c r="Y7" i="1"/>
  <c r="Y8" i="1"/>
  <c r="Y9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6" i="1"/>
  <c r="X7" i="1"/>
  <c r="X8" i="1"/>
  <c r="X9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6" i="1"/>
  <c r="W7" i="1"/>
  <c r="W8" i="1"/>
  <c r="W9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6" i="1"/>
  <c r="U7" i="1"/>
  <c r="U8" i="1"/>
  <c r="U9" i="1"/>
  <c r="U10" i="1"/>
  <c r="U11" i="1"/>
  <c r="U12" i="1"/>
  <c r="U13" i="1"/>
  <c r="U14" i="1"/>
  <c r="U15" i="1"/>
  <c r="U19" i="1"/>
  <c r="U20" i="1"/>
  <c r="U21" i="1"/>
  <c r="U22" i="1"/>
  <c r="U23" i="1"/>
  <c r="U28" i="1"/>
  <c r="U29" i="1"/>
  <c r="U32" i="1"/>
  <c r="U33" i="1"/>
  <c r="U35" i="1"/>
  <c r="U36" i="1"/>
  <c r="U37" i="1"/>
  <c r="U38" i="1"/>
  <c r="U39" i="1"/>
  <c r="U40" i="1"/>
  <c r="U41" i="1"/>
  <c r="U42" i="1"/>
  <c r="U43" i="1"/>
  <c r="U44" i="1"/>
  <c r="U45" i="1"/>
  <c r="U46" i="1"/>
  <c r="S25" i="1"/>
  <c r="S26" i="1"/>
  <c r="S31" i="1"/>
  <c r="S17" i="1"/>
  <c r="S18" i="1"/>
  <c r="T10" i="1"/>
  <c r="T11" i="1"/>
  <c r="T12" i="1"/>
  <c r="T13" i="1"/>
  <c r="T14" i="1"/>
  <c r="T15" i="1"/>
  <c r="T17" i="1"/>
  <c r="T18" i="1"/>
  <c r="T25" i="1"/>
  <c r="T26" i="1"/>
  <c r="T31" i="1"/>
  <c r="T42" i="1"/>
  <c r="T43" i="1"/>
  <c r="T44" i="1"/>
  <c r="T45" i="1"/>
  <c r="T46" i="1"/>
  <c r="P50" i="1"/>
  <c r="Q50" i="1"/>
  <c r="R50" i="1"/>
  <c r="AM50" i="1"/>
  <c r="AM88" i="1" s="1"/>
  <c r="AN50" i="1"/>
  <c r="AN88" i="1" s="1"/>
  <c r="AO50" i="1"/>
  <c r="AO88" i="1" s="1"/>
  <c r="AP50" i="1"/>
  <c r="AP88" i="1" s="1"/>
  <c r="AQ50" i="1"/>
  <c r="AQ88" i="1" s="1"/>
  <c r="AV50" i="1"/>
  <c r="AV88" i="1" s="1"/>
  <c r="AW50" i="1"/>
  <c r="AW88" i="1" s="1"/>
  <c r="AX50" i="1"/>
  <c r="AX88" i="1" s="1"/>
  <c r="AY50" i="1"/>
  <c r="AY88" i="1" s="1"/>
  <c r="AZ50" i="1"/>
  <c r="AZ88" i="1" s="1"/>
  <c r="BA50" i="1"/>
  <c r="BA88" i="1" s="1"/>
  <c r="BB50" i="1"/>
  <c r="BB88" i="1" s="1"/>
  <c r="BD50" i="1"/>
  <c r="F22" i="6" s="1"/>
  <c r="I22" i="6" s="1"/>
  <c r="C50" i="1"/>
  <c r="F6" i="6" l="1"/>
  <c r="I6" i="6" s="1"/>
  <c r="V90" i="1"/>
  <c r="E21" i="6"/>
  <c r="R21" i="6"/>
  <c r="U21" i="6" s="1"/>
  <c r="V48" i="1"/>
  <c r="AE88" i="1"/>
  <c r="N22" i="6"/>
  <c r="Q22" i="6" s="1"/>
  <c r="R22" i="6"/>
  <c r="U22" i="6" s="1"/>
  <c r="E13" i="6"/>
  <c r="R13" i="6"/>
  <c r="U13" i="6" s="1"/>
  <c r="N13" i="6"/>
  <c r="Q13" i="6" s="1"/>
  <c r="E15" i="6"/>
  <c r="N15" i="6"/>
  <c r="Q15" i="6" s="1"/>
  <c r="E14" i="6"/>
  <c r="N14" i="6"/>
  <c r="Q14" i="6" s="1"/>
  <c r="V50" i="1"/>
  <c r="AE104" i="1" l="1"/>
  <c r="AE106" i="1"/>
  <c r="J15" i="6"/>
  <c r="B6" i="6"/>
  <c r="R6" i="6" s="1"/>
  <c r="U6" i="6" s="1"/>
  <c r="V52" i="1"/>
  <c r="BF50" i="1"/>
  <c r="F23" i="6" s="1"/>
  <c r="M15" i="6" l="1"/>
  <c r="R15" i="6"/>
  <c r="U15" i="6" s="1"/>
  <c r="N6" i="6"/>
  <c r="Q6" i="6" s="1"/>
  <c r="E6" i="6"/>
  <c r="I23" i="6"/>
  <c r="N23" i="6"/>
  <c r="Q23" i="6" s="1"/>
  <c r="R23" i="6"/>
  <c r="U23" i="6" s="1"/>
  <c r="AF78" i="5"/>
  <c r="T78" i="5"/>
  <c r="S78" i="5"/>
  <c r="N78" i="5"/>
  <c r="O78" i="5" s="1"/>
  <c r="U78" i="5" s="1"/>
  <c r="AW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D77" i="5"/>
  <c r="N77" i="5"/>
  <c r="O77" i="5" s="1"/>
  <c r="U77" i="5" s="1"/>
  <c r="F77" i="5"/>
  <c r="G77" i="5" s="1"/>
  <c r="AW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D76" i="5"/>
  <c r="U76" i="5"/>
  <c r="F76" i="5"/>
  <c r="G76" i="5" s="1"/>
  <c r="AF75" i="5"/>
  <c r="V75" i="5"/>
  <c r="T75" i="5"/>
  <c r="S75" i="5"/>
  <c r="N75" i="5"/>
  <c r="O75" i="5" s="1"/>
  <c r="U75" i="5" s="1"/>
  <c r="AF74" i="5"/>
  <c r="T74" i="5"/>
  <c r="S74" i="5"/>
  <c r="N74" i="5"/>
  <c r="O74" i="5" s="1"/>
  <c r="U74" i="5" s="1"/>
  <c r="AF73" i="5"/>
  <c r="V73" i="5"/>
  <c r="T73" i="5"/>
  <c r="S73" i="5"/>
  <c r="N73" i="5"/>
  <c r="O73" i="5" s="1"/>
  <c r="U73" i="5" s="1"/>
  <c r="AW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D72" i="5"/>
  <c r="U72" i="5"/>
  <c r="F72" i="5"/>
  <c r="G72" i="5" s="1"/>
  <c r="AF71" i="5"/>
  <c r="T71" i="5"/>
  <c r="S71" i="5"/>
  <c r="N71" i="5"/>
  <c r="O71" i="5" s="1"/>
  <c r="U71" i="5" s="1"/>
  <c r="AW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D70" i="5"/>
  <c r="AC70" i="5"/>
  <c r="AB70" i="5"/>
  <c r="N70" i="5"/>
  <c r="O70" i="5" s="1"/>
  <c r="U70" i="5" s="1"/>
  <c r="F70" i="5"/>
  <c r="G70" i="5" s="1"/>
  <c r="AW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D69" i="5"/>
  <c r="N69" i="5"/>
  <c r="O69" i="5" s="1"/>
  <c r="U69" i="5" s="1"/>
  <c r="F69" i="5"/>
  <c r="G69" i="5" s="1"/>
  <c r="AW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D68" i="5"/>
  <c r="U68" i="5"/>
  <c r="F68" i="5"/>
  <c r="G68" i="5" s="1"/>
  <c r="AF67" i="5"/>
  <c r="T67" i="5"/>
  <c r="S67" i="5"/>
  <c r="N67" i="5"/>
  <c r="O67" i="5" s="1"/>
  <c r="U67" i="5" s="1"/>
  <c r="AW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D66" i="5"/>
  <c r="N66" i="5"/>
  <c r="O66" i="5" s="1"/>
  <c r="U66" i="5" s="1"/>
  <c r="F66" i="5"/>
  <c r="G66" i="5" s="1"/>
  <c r="AZ65" i="5"/>
  <c r="AW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D65" i="5"/>
  <c r="AA65" i="5"/>
  <c r="F65" i="5"/>
  <c r="G65" i="5" s="1"/>
  <c r="AZ64" i="5"/>
  <c r="AW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D64" i="5"/>
  <c r="AA64" i="5"/>
  <c r="F64" i="5"/>
  <c r="G64" i="5" s="1"/>
  <c r="AZ63" i="5"/>
  <c r="AW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D63" i="5"/>
  <c r="AA63" i="5"/>
  <c r="F63" i="5"/>
  <c r="G63" i="5" s="1"/>
  <c r="AZ62" i="5"/>
  <c r="AW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D62" i="5"/>
  <c r="AA62" i="5"/>
  <c r="F62" i="5"/>
  <c r="G62" i="5" s="1"/>
  <c r="J62" i="5" s="1"/>
  <c r="S62" i="5" s="1"/>
  <c r="AZ61" i="5"/>
  <c r="AW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D61" i="5"/>
  <c r="AA61" i="5"/>
  <c r="F61" i="5"/>
  <c r="G61" i="5" s="1"/>
  <c r="AW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N60" i="5"/>
  <c r="O60" i="5" s="1"/>
  <c r="U60" i="5" s="1"/>
  <c r="F60" i="5"/>
  <c r="G60" i="5" s="1"/>
  <c r="AW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D59" i="5"/>
  <c r="U59" i="5"/>
  <c r="F59" i="5"/>
  <c r="G59" i="5" s="1"/>
  <c r="AW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D58" i="5"/>
  <c r="U58" i="5"/>
  <c r="F58" i="5"/>
  <c r="G58" i="5" s="1"/>
  <c r="T58" i="5" s="1"/>
  <c r="AW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D57" i="5"/>
  <c r="U57" i="5"/>
  <c r="F57" i="5"/>
  <c r="G57" i="5" s="1"/>
  <c r="AW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D56" i="5"/>
  <c r="U56" i="5"/>
  <c r="F56" i="5"/>
  <c r="G56" i="5" s="1"/>
  <c r="T56" i="5" s="1"/>
  <c r="AW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D55" i="5"/>
  <c r="U55" i="5"/>
  <c r="F55" i="5"/>
  <c r="G55" i="5" s="1"/>
  <c r="T55" i="5" s="1"/>
  <c r="AW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D54" i="5"/>
  <c r="U54" i="5"/>
  <c r="F54" i="5"/>
  <c r="G54" i="5" s="1"/>
  <c r="AW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D53" i="5"/>
  <c r="U53" i="5"/>
  <c r="F53" i="5"/>
  <c r="G53" i="5" s="1"/>
  <c r="AW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D52" i="5"/>
  <c r="U52" i="5"/>
  <c r="F52" i="5"/>
  <c r="G52" i="5" s="1"/>
  <c r="AW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D51" i="5"/>
  <c r="AC51" i="5"/>
  <c r="AB51" i="5"/>
  <c r="U51" i="5"/>
  <c r="F51" i="5"/>
  <c r="G51" i="5" s="1"/>
  <c r="J51" i="5" s="1"/>
  <c r="S51" i="5" s="1"/>
  <c r="AW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D50" i="5"/>
  <c r="AC50" i="5"/>
  <c r="AB50" i="5"/>
  <c r="N50" i="5"/>
  <c r="O50" i="5" s="1"/>
  <c r="U50" i="5" s="1"/>
  <c r="F50" i="5"/>
  <c r="G50" i="5" s="1"/>
  <c r="T50" i="5" s="1"/>
  <c r="AW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D49" i="5"/>
  <c r="AC49" i="5"/>
  <c r="AB49" i="5"/>
  <c r="U49" i="5"/>
  <c r="F49" i="5"/>
  <c r="G49" i="5" s="1"/>
  <c r="AW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D48" i="5"/>
  <c r="AC48" i="5"/>
  <c r="AB48" i="5"/>
  <c r="U48" i="5"/>
  <c r="F48" i="5"/>
  <c r="G48" i="5" s="1"/>
  <c r="AF47" i="5"/>
  <c r="T47" i="5"/>
  <c r="S47" i="5"/>
  <c r="N47" i="5"/>
  <c r="O47" i="5" s="1"/>
  <c r="U47" i="5" s="1"/>
  <c r="AW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D46" i="5"/>
  <c r="AC46" i="5"/>
  <c r="AB46" i="5"/>
  <c r="U46" i="5"/>
  <c r="F46" i="5"/>
  <c r="G46" i="5" s="1"/>
  <c r="AW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D45" i="5"/>
  <c r="U45" i="5"/>
  <c r="F45" i="5"/>
  <c r="G45" i="5" s="1"/>
  <c r="AW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D44" i="5"/>
  <c r="N44" i="5"/>
  <c r="O44" i="5" s="1"/>
  <c r="U44" i="5" s="1"/>
  <c r="F44" i="5"/>
  <c r="G44" i="5" s="1"/>
  <c r="AF43" i="5"/>
  <c r="T43" i="5"/>
  <c r="S43" i="5"/>
  <c r="N43" i="5"/>
  <c r="O43" i="5" s="1"/>
  <c r="U43" i="5" s="1"/>
  <c r="AW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D42" i="5"/>
  <c r="U42" i="5"/>
  <c r="F42" i="5"/>
  <c r="G42" i="5" s="1"/>
  <c r="H42" i="5" s="1"/>
  <c r="AW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D41" i="5"/>
  <c r="U41" i="5"/>
  <c r="F41" i="5"/>
  <c r="G41" i="5" s="1"/>
  <c r="H41" i="5" s="1"/>
  <c r="AW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D40" i="5"/>
  <c r="U40" i="5"/>
  <c r="F40" i="5"/>
  <c r="G40" i="5" s="1"/>
  <c r="H40" i="5" s="1"/>
  <c r="AW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D39" i="5"/>
  <c r="U39" i="5"/>
  <c r="F39" i="5"/>
  <c r="G39" i="5" s="1"/>
  <c r="H39" i="5" s="1"/>
  <c r="AW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D38" i="5"/>
  <c r="U38" i="5"/>
  <c r="F38" i="5"/>
  <c r="G38" i="5" s="1"/>
  <c r="H38" i="5" s="1"/>
  <c r="AF37" i="5"/>
  <c r="T37" i="5"/>
  <c r="S37" i="5"/>
  <c r="N37" i="5"/>
  <c r="O37" i="5" s="1"/>
  <c r="U37" i="5" s="1"/>
  <c r="AW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D36" i="5"/>
  <c r="N36" i="5"/>
  <c r="O36" i="5" s="1"/>
  <c r="U36" i="5" s="1"/>
  <c r="F36" i="5"/>
  <c r="G36" i="5" s="1"/>
  <c r="T36" i="5" s="1"/>
  <c r="AW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D35" i="5"/>
  <c r="AC35" i="5"/>
  <c r="AB35" i="5"/>
  <c r="N35" i="5"/>
  <c r="O35" i="5" s="1"/>
  <c r="U35" i="5" s="1"/>
  <c r="F35" i="5"/>
  <c r="G35" i="5" s="1"/>
  <c r="H35" i="5" s="1"/>
  <c r="AW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D34" i="5"/>
  <c r="AA34" i="5"/>
  <c r="F34" i="5"/>
  <c r="G34" i="5" s="1"/>
  <c r="Y34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D32" i="5"/>
  <c r="AA32" i="5"/>
  <c r="F32" i="5"/>
  <c r="G32" i="5" s="1"/>
  <c r="J32" i="5" s="1"/>
  <c r="S32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D31" i="5"/>
  <c r="AC31" i="5"/>
  <c r="AB31" i="5"/>
  <c r="U31" i="5"/>
  <c r="F31" i="5"/>
  <c r="G31" i="5" s="1"/>
  <c r="H31" i="5" s="1"/>
  <c r="AW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D30" i="5"/>
  <c r="U30" i="5"/>
  <c r="F30" i="5"/>
  <c r="G30" i="5" s="1"/>
  <c r="H30" i="5" s="1"/>
  <c r="AW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D29" i="5"/>
  <c r="U29" i="5"/>
  <c r="F29" i="5"/>
  <c r="G29" i="5" s="1"/>
  <c r="H29" i="5" s="1"/>
  <c r="AW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D28" i="5"/>
  <c r="U28" i="5"/>
  <c r="F28" i="5"/>
  <c r="G28" i="5" s="1"/>
  <c r="H28" i="5" s="1"/>
  <c r="AW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D27" i="5"/>
  <c r="U27" i="5"/>
  <c r="F27" i="5"/>
  <c r="G27" i="5" s="1"/>
  <c r="H27" i="5" s="1"/>
  <c r="AW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D26" i="5"/>
  <c r="U26" i="5"/>
  <c r="F26" i="5"/>
  <c r="G26" i="5" s="1"/>
  <c r="H26" i="5" s="1"/>
  <c r="AW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D25" i="5"/>
  <c r="U25" i="5"/>
  <c r="F25" i="5"/>
  <c r="G25" i="5" s="1"/>
  <c r="H25" i="5" s="1"/>
  <c r="AW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D24" i="5"/>
  <c r="AA24" i="5"/>
  <c r="F24" i="5"/>
  <c r="G24" i="5" s="1"/>
  <c r="X24" i="5" s="1"/>
  <c r="AW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D23" i="5"/>
  <c r="AC23" i="5"/>
  <c r="AB23" i="5"/>
  <c r="N23" i="5"/>
  <c r="O23" i="5" s="1"/>
  <c r="U23" i="5" s="1"/>
  <c r="F23" i="5"/>
  <c r="G23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D22" i="5"/>
  <c r="AC22" i="5"/>
  <c r="AB22" i="5"/>
  <c r="N22" i="5"/>
  <c r="O22" i="5" s="1"/>
  <c r="U22" i="5" s="1"/>
  <c r="F22" i="5"/>
  <c r="G22" i="5" s="1"/>
  <c r="T22" i="5" s="1"/>
  <c r="AW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D21" i="5"/>
  <c r="U21" i="5"/>
  <c r="F21" i="5"/>
  <c r="G21" i="5" s="1"/>
  <c r="AW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D20" i="5"/>
  <c r="U20" i="5"/>
  <c r="F20" i="5"/>
  <c r="G20" i="5" s="1"/>
  <c r="AW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D19" i="5"/>
  <c r="U19" i="5"/>
  <c r="F19" i="5"/>
  <c r="G19" i="5" s="1"/>
  <c r="T19" i="5" s="1"/>
  <c r="AW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D18" i="5"/>
  <c r="U18" i="5"/>
  <c r="F18" i="5"/>
  <c r="G18" i="5" s="1"/>
  <c r="AW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D17" i="5"/>
  <c r="U17" i="5"/>
  <c r="F17" i="5"/>
  <c r="G17" i="5" s="1"/>
  <c r="T17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D16" i="5"/>
  <c r="AA16" i="5"/>
  <c r="F16" i="5"/>
  <c r="G16" i="5" s="1"/>
  <c r="H16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D15" i="5"/>
  <c r="AA15" i="5"/>
  <c r="F15" i="5"/>
  <c r="G15" i="5" s="1"/>
  <c r="AW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D14" i="5"/>
  <c r="AA14" i="5"/>
  <c r="F14" i="5"/>
  <c r="G14" i="5" s="1"/>
  <c r="AW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D12" i="5"/>
  <c r="U12" i="5"/>
  <c r="F12" i="5"/>
  <c r="G12" i="5" s="1"/>
  <c r="AW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D11" i="5"/>
  <c r="U11" i="5"/>
  <c r="F11" i="5"/>
  <c r="G11" i="5" s="1"/>
  <c r="AW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D10" i="5"/>
  <c r="U10" i="5"/>
  <c r="F10" i="5"/>
  <c r="G10" i="5" s="1"/>
  <c r="AW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D9" i="5"/>
  <c r="AC9" i="5"/>
  <c r="AB9" i="5"/>
  <c r="U9" i="5"/>
  <c r="F9" i="5"/>
  <c r="G9" i="5" s="1"/>
  <c r="T9" i="5" s="1"/>
  <c r="AW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D8" i="5"/>
  <c r="AC8" i="5"/>
  <c r="AB8" i="5"/>
  <c r="N8" i="5"/>
  <c r="O8" i="5" s="1"/>
  <c r="U8" i="5" s="1"/>
  <c r="F8" i="5"/>
  <c r="G8" i="5" s="1"/>
  <c r="AW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D7" i="5"/>
  <c r="V7" i="5"/>
  <c r="N7" i="5"/>
  <c r="O7" i="5" s="1"/>
  <c r="U7" i="5" s="1"/>
  <c r="F7" i="5"/>
  <c r="G7" i="5" s="1"/>
  <c r="AW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D6" i="5"/>
  <c r="V6" i="5"/>
  <c r="N6" i="5"/>
  <c r="O6" i="5" s="1"/>
  <c r="U6" i="5" s="1"/>
  <c r="F6" i="5"/>
  <c r="G6" i="5" s="1"/>
  <c r="AW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D5" i="5"/>
  <c r="V5" i="5"/>
  <c r="N5" i="5"/>
  <c r="O5" i="5" s="1"/>
  <c r="U5" i="5" s="1"/>
  <c r="F5" i="5"/>
  <c r="G5" i="5" s="1"/>
  <c r="H5" i="5" s="1"/>
  <c r="AW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D4" i="5"/>
  <c r="V4" i="5"/>
  <c r="N4" i="5"/>
  <c r="O4" i="5" s="1"/>
  <c r="U4" i="5" s="1"/>
  <c r="F4" i="5"/>
  <c r="G4" i="5" s="1"/>
  <c r="T4" i="5" s="1"/>
  <c r="AW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D3" i="5"/>
  <c r="N3" i="5"/>
  <c r="O3" i="5" s="1"/>
  <c r="F3" i="5"/>
  <c r="G3" i="5" s="1"/>
  <c r="X34" i="5" l="1"/>
  <c r="T41" i="5"/>
  <c r="J19" i="5"/>
  <c r="S19" i="5" s="1"/>
  <c r="J38" i="5"/>
  <c r="S38" i="5" s="1"/>
  <c r="J23" i="5"/>
  <c r="S23" i="5" s="1"/>
  <c r="T23" i="5"/>
  <c r="J70" i="5"/>
  <c r="S70" i="5" s="1"/>
  <c r="T70" i="5"/>
  <c r="Y62" i="5"/>
  <c r="T40" i="5"/>
  <c r="Z62" i="5"/>
  <c r="J41" i="5"/>
  <c r="S41" i="5" s="1"/>
  <c r="T38" i="5"/>
  <c r="AT50" i="1"/>
  <c r="J76" i="5"/>
  <c r="S76" i="5" s="1"/>
  <c r="T76" i="5"/>
  <c r="H76" i="5"/>
  <c r="J68" i="5"/>
  <c r="S68" i="5" s="1"/>
  <c r="T68" i="5"/>
  <c r="J69" i="5"/>
  <c r="S69" i="5" s="1"/>
  <c r="T69" i="5"/>
  <c r="T44" i="5"/>
  <c r="H44" i="5"/>
  <c r="T77" i="5"/>
  <c r="J77" i="5"/>
  <c r="S77" i="5" s="1"/>
  <c r="H77" i="5"/>
  <c r="J65" i="5"/>
  <c r="S65" i="5" s="1"/>
  <c r="W65" i="5"/>
  <c r="Z65" i="5"/>
  <c r="Y65" i="5"/>
  <c r="X65" i="5"/>
  <c r="T72" i="5"/>
  <c r="J72" i="5"/>
  <c r="S72" i="5" s="1"/>
  <c r="H72" i="5"/>
  <c r="Z24" i="5"/>
  <c r="T25" i="5"/>
  <c r="Y24" i="5"/>
  <c r="J29" i="5"/>
  <c r="S29" i="5" s="1"/>
  <c r="J35" i="5"/>
  <c r="S35" i="5" s="1"/>
  <c r="T31" i="5"/>
  <c r="H70" i="5"/>
  <c r="W62" i="5"/>
  <c r="J30" i="5"/>
  <c r="S30" i="5" s="1"/>
  <c r="T27" i="5"/>
  <c r="T30" i="5"/>
  <c r="T51" i="5"/>
  <c r="H56" i="5"/>
  <c r="J58" i="5"/>
  <c r="S58" i="5" s="1"/>
  <c r="X62" i="5"/>
  <c r="G82" i="5"/>
  <c r="J10" i="5"/>
  <c r="S10" i="5" s="1"/>
  <c r="H10" i="5"/>
  <c r="T10" i="5"/>
  <c r="Z63" i="5"/>
  <c r="Y63" i="5"/>
  <c r="X63" i="5"/>
  <c r="W63" i="5"/>
  <c r="J63" i="5"/>
  <c r="S63" i="5" s="1"/>
  <c r="H63" i="5"/>
  <c r="T20" i="5"/>
  <c r="J20" i="5"/>
  <c r="S20" i="5" s="1"/>
  <c r="H20" i="5"/>
  <c r="T54" i="5"/>
  <c r="J54" i="5"/>
  <c r="S54" i="5" s="1"/>
  <c r="H54" i="5"/>
  <c r="T57" i="5"/>
  <c r="H57" i="5"/>
  <c r="J57" i="5"/>
  <c r="S57" i="5" s="1"/>
  <c r="T49" i="5"/>
  <c r="J49" i="5"/>
  <c r="S49" i="5" s="1"/>
  <c r="H49" i="5"/>
  <c r="T52" i="5"/>
  <c r="J52" i="5"/>
  <c r="S52" i="5" s="1"/>
  <c r="H52" i="5"/>
  <c r="J12" i="5"/>
  <c r="S12" i="5" s="1"/>
  <c r="H12" i="5"/>
  <c r="T12" i="5"/>
  <c r="T45" i="5"/>
  <c r="H45" i="5"/>
  <c r="J45" i="5"/>
  <c r="S45" i="5" s="1"/>
  <c r="Y61" i="5"/>
  <c r="X61" i="5"/>
  <c r="W61" i="5"/>
  <c r="J61" i="5"/>
  <c r="S61" i="5" s="1"/>
  <c r="H61" i="5"/>
  <c r="Z61" i="5"/>
  <c r="Y15" i="5"/>
  <c r="W15" i="5"/>
  <c r="X15" i="5"/>
  <c r="J15" i="5"/>
  <c r="S15" i="5" s="1"/>
  <c r="Z15" i="5"/>
  <c r="H15" i="5"/>
  <c r="T66" i="5"/>
  <c r="J66" i="5"/>
  <c r="S66" i="5" s="1"/>
  <c r="H66" i="5"/>
  <c r="T7" i="5"/>
  <c r="J7" i="5"/>
  <c r="S7" i="5" s="1"/>
  <c r="H7" i="5"/>
  <c r="T18" i="5"/>
  <c r="H18" i="5"/>
  <c r="J18" i="5"/>
  <c r="S18" i="5" s="1"/>
  <c r="T53" i="5"/>
  <c r="J53" i="5"/>
  <c r="S53" i="5" s="1"/>
  <c r="H53" i="5"/>
  <c r="T59" i="5"/>
  <c r="J59" i="5"/>
  <c r="S59" i="5" s="1"/>
  <c r="H59" i="5"/>
  <c r="J11" i="5"/>
  <c r="S11" i="5" s="1"/>
  <c r="H11" i="5"/>
  <c r="T11" i="5"/>
  <c r="T48" i="5"/>
  <c r="J48" i="5"/>
  <c r="S48" i="5" s="1"/>
  <c r="H48" i="5"/>
  <c r="T60" i="5"/>
  <c r="J60" i="5"/>
  <c r="S60" i="5" s="1"/>
  <c r="H60" i="5"/>
  <c r="Y64" i="5"/>
  <c r="X64" i="5"/>
  <c r="W64" i="5"/>
  <c r="J64" i="5"/>
  <c r="S64" i="5" s="1"/>
  <c r="H64" i="5"/>
  <c r="Z64" i="5"/>
  <c r="T21" i="5"/>
  <c r="J21" i="5"/>
  <c r="S21" i="5" s="1"/>
  <c r="H21" i="5"/>
  <c r="T6" i="5"/>
  <c r="J6" i="5"/>
  <c r="S6" i="5" s="1"/>
  <c r="H6" i="5"/>
  <c r="Z14" i="5"/>
  <c r="Y14" i="5"/>
  <c r="X14" i="5"/>
  <c r="J14" i="5"/>
  <c r="S14" i="5" s="1"/>
  <c r="H14" i="5"/>
  <c r="W14" i="5"/>
  <c r="T46" i="5"/>
  <c r="J46" i="5"/>
  <c r="S46" i="5" s="1"/>
  <c r="H46" i="5"/>
  <c r="H17" i="5"/>
  <c r="J26" i="5"/>
  <c r="S26" i="5" s="1"/>
  <c r="X16" i="5"/>
  <c r="Y16" i="5"/>
  <c r="T3" i="5"/>
  <c r="Z16" i="5"/>
  <c r="J17" i="5"/>
  <c r="S17" i="5" s="1"/>
  <c r="J42" i="5"/>
  <c r="S42" i="5" s="1"/>
  <c r="J44" i="5"/>
  <c r="S44" i="5" s="1"/>
  <c r="H51" i="5"/>
  <c r="H55" i="5"/>
  <c r="J56" i="5"/>
  <c r="S56" i="5" s="1"/>
  <c r="U3" i="5"/>
  <c r="J25" i="5"/>
  <c r="S25" i="5" s="1"/>
  <c r="T26" i="5"/>
  <c r="J31" i="5"/>
  <c r="S31" i="5" s="1"/>
  <c r="J55" i="5"/>
  <c r="S55" i="5" s="1"/>
  <c r="T5" i="5"/>
  <c r="J5" i="5"/>
  <c r="S5" i="5" s="1"/>
  <c r="W24" i="5"/>
  <c r="J24" i="5"/>
  <c r="S24" i="5" s="1"/>
  <c r="H24" i="5"/>
  <c r="T42" i="5"/>
  <c r="J8" i="5"/>
  <c r="S8" i="5" s="1"/>
  <c r="H8" i="5"/>
  <c r="Z32" i="5"/>
  <c r="Y32" i="5"/>
  <c r="X32" i="5"/>
  <c r="H32" i="5"/>
  <c r="W34" i="5"/>
  <c r="J34" i="5"/>
  <c r="S34" i="5" s="1"/>
  <c r="H34" i="5"/>
  <c r="J40" i="5"/>
  <c r="S40" i="5" s="1"/>
  <c r="J39" i="5"/>
  <c r="S39" i="5" s="1"/>
  <c r="J4" i="5"/>
  <c r="S4" i="5" s="1"/>
  <c r="H4" i="5"/>
  <c r="T8" i="5"/>
  <c r="J9" i="5"/>
  <c r="S9" i="5" s="1"/>
  <c r="J16" i="5"/>
  <c r="S16" i="5" s="1"/>
  <c r="J22" i="5"/>
  <c r="S22" i="5" s="1"/>
  <c r="J28" i="5"/>
  <c r="S28" i="5" s="1"/>
  <c r="T29" i="5"/>
  <c r="W32" i="5"/>
  <c r="Z34" i="5"/>
  <c r="T35" i="5"/>
  <c r="H9" i="5"/>
  <c r="T39" i="5"/>
  <c r="H22" i="5"/>
  <c r="W16" i="5"/>
  <c r="H19" i="5"/>
  <c r="J27" i="5"/>
  <c r="S27" i="5" s="1"/>
  <c r="T28" i="5"/>
  <c r="J50" i="5"/>
  <c r="S50" i="5" s="1"/>
  <c r="H50" i="5"/>
  <c r="H58" i="5"/>
  <c r="H3" i="5"/>
  <c r="J3" i="5"/>
  <c r="J36" i="5"/>
  <c r="S36" i="5" s="1"/>
  <c r="H36" i="5"/>
  <c r="H23" i="5"/>
  <c r="H62" i="5"/>
  <c r="H65" i="5"/>
  <c r="H68" i="5"/>
  <c r="H69" i="5"/>
  <c r="BA104" i="1"/>
  <c r="AZ104" i="1"/>
  <c r="BB104" i="1"/>
  <c r="AV104" i="1"/>
  <c r="AP104" i="1"/>
  <c r="AQ104" i="1"/>
  <c r="AN104" i="1"/>
  <c r="AO104" i="1"/>
  <c r="BM50" i="1" l="1"/>
  <c r="AW104" i="1"/>
  <c r="AX104" i="1"/>
  <c r="AY104" i="1"/>
  <c r="AM104" i="1"/>
  <c r="S3" i="5"/>
  <c r="N95" i="1" l="1"/>
  <c r="O95" i="1" s="1"/>
  <c r="U95" i="1" s="1"/>
  <c r="N74" i="1"/>
  <c r="O74" i="1" s="1"/>
  <c r="U74" i="1" s="1"/>
  <c r="F74" i="1"/>
  <c r="G74" i="1" s="1"/>
  <c r="T74" i="1" s="1"/>
  <c r="N73" i="1"/>
  <c r="O73" i="1" s="1"/>
  <c r="U73" i="1" s="1"/>
  <c r="F73" i="1"/>
  <c r="G73" i="1" s="1"/>
  <c r="T73" i="1" s="1"/>
  <c r="N72" i="1"/>
  <c r="O72" i="1" s="1"/>
  <c r="U72" i="1" s="1"/>
  <c r="F72" i="1"/>
  <c r="G72" i="1" s="1"/>
  <c r="T72" i="1" s="1"/>
  <c r="F71" i="1"/>
  <c r="G71" i="1" s="1"/>
  <c r="T71" i="1" s="1"/>
  <c r="N70" i="1"/>
  <c r="O70" i="1" s="1"/>
  <c r="U70" i="1" s="1"/>
  <c r="N69" i="1"/>
  <c r="O69" i="1" s="1"/>
  <c r="U69" i="1" s="1"/>
  <c r="F69" i="1"/>
  <c r="G69" i="1" s="1"/>
  <c r="T69" i="1" s="1"/>
  <c r="F46" i="1"/>
  <c r="G46" i="1" s="1"/>
  <c r="F45" i="1"/>
  <c r="G45" i="1" s="1"/>
  <c r="F44" i="1"/>
  <c r="G44" i="1" s="1"/>
  <c r="F43" i="1"/>
  <c r="G43" i="1" s="1"/>
  <c r="F42" i="1"/>
  <c r="G42" i="1" s="1"/>
  <c r="N78" i="1"/>
  <c r="O78" i="1" s="1"/>
  <c r="U78" i="1" s="1"/>
  <c r="F78" i="1"/>
  <c r="G78" i="1" s="1"/>
  <c r="T78" i="1" s="1"/>
  <c r="N77" i="1"/>
  <c r="O77" i="1" s="1"/>
  <c r="U77" i="1" s="1"/>
  <c r="F77" i="1"/>
  <c r="G77" i="1" s="1"/>
  <c r="T77" i="1" s="1"/>
  <c r="F76" i="1"/>
  <c r="G76" i="1" s="1"/>
  <c r="T76" i="1" s="1"/>
  <c r="F75" i="1"/>
  <c r="G75" i="1" s="1"/>
  <c r="T75" i="1" s="1"/>
  <c r="F41" i="1"/>
  <c r="G41" i="1" s="1"/>
  <c r="T41" i="1" s="1"/>
  <c r="F40" i="1"/>
  <c r="G40" i="1" s="1"/>
  <c r="T40" i="1" s="1"/>
  <c r="F39" i="1"/>
  <c r="G39" i="1" s="1"/>
  <c r="T39" i="1" s="1"/>
  <c r="F38" i="1"/>
  <c r="G38" i="1" s="1"/>
  <c r="T38" i="1" s="1"/>
  <c r="F37" i="1"/>
  <c r="G37" i="1" s="1"/>
  <c r="T37" i="1" s="1"/>
  <c r="F36" i="1"/>
  <c r="G36" i="1" s="1"/>
  <c r="T36" i="1" s="1"/>
  <c r="F35" i="1"/>
  <c r="G35" i="1" s="1"/>
  <c r="N34" i="1"/>
  <c r="O34" i="1" s="1"/>
  <c r="U34" i="1" s="1"/>
  <c r="F34" i="1"/>
  <c r="G34" i="1" s="1"/>
  <c r="T34" i="1" s="1"/>
  <c r="F33" i="1"/>
  <c r="G33" i="1" s="1"/>
  <c r="T33" i="1" s="1"/>
  <c r="F32" i="1"/>
  <c r="G32" i="1" s="1"/>
  <c r="T32" i="1" s="1"/>
  <c r="N31" i="1"/>
  <c r="O31" i="1" s="1"/>
  <c r="U31" i="1" s="1"/>
  <c r="N30" i="1"/>
  <c r="O30" i="1" s="1"/>
  <c r="U30" i="1" s="1"/>
  <c r="F30" i="1"/>
  <c r="G30" i="1" s="1"/>
  <c r="T30" i="1" s="1"/>
  <c r="F29" i="1"/>
  <c r="G29" i="1" s="1"/>
  <c r="T29" i="1" s="1"/>
  <c r="F28" i="1"/>
  <c r="G28" i="1" s="1"/>
  <c r="T28" i="1" s="1"/>
  <c r="N27" i="1"/>
  <c r="O27" i="1" s="1"/>
  <c r="U27" i="1" s="1"/>
  <c r="F27" i="1"/>
  <c r="G27" i="1" s="1"/>
  <c r="T27" i="1" s="1"/>
  <c r="N26" i="1"/>
  <c r="O26" i="1" s="1"/>
  <c r="U26" i="1" s="1"/>
  <c r="N25" i="1"/>
  <c r="O25" i="1" s="1"/>
  <c r="U25" i="1" s="1"/>
  <c r="N24" i="1"/>
  <c r="O24" i="1" s="1"/>
  <c r="U24" i="1" s="1"/>
  <c r="F24" i="1"/>
  <c r="G24" i="1" s="1"/>
  <c r="T24" i="1" s="1"/>
  <c r="F23" i="1"/>
  <c r="G23" i="1" s="1"/>
  <c r="T23" i="1" s="1"/>
  <c r="F22" i="1"/>
  <c r="G22" i="1" s="1"/>
  <c r="T22" i="1" s="1"/>
  <c r="F21" i="1"/>
  <c r="G21" i="1" s="1"/>
  <c r="T21" i="1" s="1"/>
  <c r="F20" i="1"/>
  <c r="G20" i="1" s="1"/>
  <c r="T20" i="1" s="1"/>
  <c r="F19" i="1"/>
  <c r="G19" i="1" s="1"/>
  <c r="T19" i="1" s="1"/>
  <c r="N18" i="1"/>
  <c r="O18" i="1" s="1"/>
  <c r="U18" i="1" s="1"/>
  <c r="N17" i="1"/>
  <c r="O17" i="1" s="1"/>
  <c r="U17" i="1" s="1"/>
  <c r="N16" i="1"/>
  <c r="O16" i="1" s="1"/>
  <c r="U16" i="1" s="1"/>
  <c r="F16" i="1"/>
  <c r="G16" i="1" s="1"/>
  <c r="T16" i="1" s="1"/>
  <c r="N94" i="1"/>
  <c r="O94" i="1" s="1"/>
  <c r="U94" i="1" s="1"/>
  <c r="N93" i="1"/>
  <c r="F93" i="1"/>
  <c r="G93" i="1" s="1"/>
  <c r="T93" i="1" s="1"/>
  <c r="F15" i="1"/>
  <c r="G15" i="1" s="1"/>
  <c r="F14" i="1"/>
  <c r="G14" i="1" s="1"/>
  <c r="F92" i="1"/>
  <c r="F84" i="1"/>
  <c r="G84" i="1" s="1"/>
  <c r="T84" i="1" s="1"/>
  <c r="F83" i="1"/>
  <c r="G83" i="1" s="1"/>
  <c r="F82" i="1"/>
  <c r="G82" i="1" s="1"/>
  <c r="T82" i="1" s="1"/>
  <c r="F81" i="1"/>
  <c r="G81" i="1" s="1"/>
  <c r="T81" i="1" s="1"/>
  <c r="F80" i="1"/>
  <c r="G80" i="1" s="1"/>
  <c r="T80" i="1" s="1"/>
  <c r="F79" i="1"/>
  <c r="G79" i="1" s="1"/>
  <c r="T79" i="1" s="1"/>
  <c r="F13" i="1"/>
  <c r="G13" i="1" s="1"/>
  <c r="N68" i="1"/>
  <c r="O68" i="1" s="1"/>
  <c r="U68" i="1" s="1"/>
  <c r="N67" i="1"/>
  <c r="O67" i="1" s="1"/>
  <c r="U67" i="1" s="1"/>
  <c r="F67" i="1"/>
  <c r="G67" i="1" s="1"/>
  <c r="T67" i="1" s="1"/>
  <c r="N66" i="1"/>
  <c r="O66" i="1" s="1"/>
  <c r="U66" i="1" s="1"/>
  <c r="N65" i="1"/>
  <c r="O65" i="1" s="1"/>
  <c r="U65" i="1" s="1"/>
  <c r="N64" i="1"/>
  <c r="O64" i="1" s="1"/>
  <c r="U64" i="1" s="1"/>
  <c r="N63" i="1"/>
  <c r="O63" i="1" s="1"/>
  <c r="U63" i="1" s="1"/>
  <c r="N62" i="1"/>
  <c r="O62" i="1" s="1"/>
  <c r="U62" i="1" s="1"/>
  <c r="F62" i="1"/>
  <c r="G62" i="1" s="1"/>
  <c r="T62" i="1" s="1"/>
  <c r="F100" i="1"/>
  <c r="G100" i="1" s="1"/>
  <c r="T100" i="1" s="1"/>
  <c r="F99" i="1"/>
  <c r="G99" i="1" s="1"/>
  <c r="T99" i="1" s="1"/>
  <c r="F98" i="1"/>
  <c r="G98" i="1" s="1"/>
  <c r="T98" i="1" s="1"/>
  <c r="F97" i="1"/>
  <c r="G97" i="1" s="1"/>
  <c r="T97" i="1" s="1"/>
  <c r="F96" i="1"/>
  <c r="G96" i="1" s="1"/>
  <c r="T96" i="1" s="1"/>
  <c r="F12" i="1"/>
  <c r="G12" i="1" s="1"/>
  <c r="AA50" i="1"/>
  <c r="F11" i="1"/>
  <c r="G11" i="1" s="1"/>
  <c r="F10" i="1"/>
  <c r="G10" i="1" s="1"/>
  <c r="F9" i="1"/>
  <c r="G9" i="1" s="1"/>
  <c r="T9" i="1" s="1"/>
  <c r="F8" i="1"/>
  <c r="G8" i="1" s="1"/>
  <c r="T8" i="1" s="1"/>
  <c r="F7" i="1"/>
  <c r="G7" i="1" s="1"/>
  <c r="T7" i="1" s="1"/>
  <c r="N61" i="1"/>
  <c r="O61" i="1" s="1"/>
  <c r="U61" i="1" s="1"/>
  <c r="F61" i="1"/>
  <c r="G61" i="1" s="1"/>
  <c r="T61" i="1" s="1"/>
  <c r="N60" i="1"/>
  <c r="O60" i="1" s="1"/>
  <c r="U60" i="1" s="1"/>
  <c r="F60" i="1"/>
  <c r="G60" i="1" s="1"/>
  <c r="T60" i="1" s="1"/>
  <c r="N59" i="1"/>
  <c r="O59" i="1" s="1"/>
  <c r="U59" i="1" s="1"/>
  <c r="N58" i="1"/>
  <c r="O58" i="1" s="1"/>
  <c r="U58" i="1" s="1"/>
  <c r="N57" i="1"/>
  <c r="O57" i="1" s="1"/>
  <c r="U57" i="1" s="1"/>
  <c r="N56" i="1"/>
  <c r="O56" i="1" s="1"/>
  <c r="U56" i="1" s="1"/>
  <c r="F56" i="1"/>
  <c r="G56" i="1" s="1"/>
  <c r="T56" i="1" s="1"/>
  <c r="N55" i="1"/>
  <c r="O55" i="1" s="1"/>
  <c r="U55" i="1" s="1"/>
  <c r="N54" i="1"/>
  <c r="F54" i="1"/>
  <c r="N6" i="1"/>
  <c r="F6" i="1"/>
  <c r="O93" i="1" l="1"/>
  <c r="N104" i="1"/>
  <c r="G92" i="1"/>
  <c r="H92" i="1" s="1"/>
  <c r="F104" i="1"/>
  <c r="Z48" i="1"/>
  <c r="Y48" i="1"/>
  <c r="Y52" i="1" s="1"/>
  <c r="X48" i="1"/>
  <c r="X52" i="1" s="1"/>
  <c r="W48" i="1"/>
  <c r="W52" i="1" s="1"/>
  <c r="H83" i="1"/>
  <c r="T83" i="1"/>
  <c r="V88" i="1"/>
  <c r="G54" i="1"/>
  <c r="F88" i="1"/>
  <c r="O54" i="1"/>
  <c r="U54" i="1" s="1"/>
  <c r="N88" i="1"/>
  <c r="N50" i="1"/>
  <c r="B11" i="6"/>
  <c r="B9" i="6"/>
  <c r="B7" i="6"/>
  <c r="Z10" i="1"/>
  <c r="Y10" i="1"/>
  <c r="X10" i="1"/>
  <c r="W10" i="1"/>
  <c r="W11" i="1"/>
  <c r="X11" i="1"/>
  <c r="Z11" i="1"/>
  <c r="Y11" i="1"/>
  <c r="W43" i="1"/>
  <c r="Y43" i="1"/>
  <c r="Z43" i="1"/>
  <c r="X43" i="1"/>
  <c r="Z42" i="1"/>
  <c r="W42" i="1"/>
  <c r="Y42" i="1"/>
  <c r="X42" i="1"/>
  <c r="X44" i="1"/>
  <c r="W44" i="1"/>
  <c r="Z44" i="1"/>
  <c r="Y44" i="1"/>
  <c r="Z15" i="1"/>
  <c r="Y15" i="1"/>
  <c r="X15" i="1"/>
  <c r="W15" i="1"/>
  <c r="H35" i="1"/>
  <c r="T35" i="1"/>
  <c r="Y45" i="1"/>
  <c r="X45" i="1"/>
  <c r="W45" i="1"/>
  <c r="Z45" i="1"/>
  <c r="Z13" i="1"/>
  <c r="Y13" i="1"/>
  <c r="X13" i="1"/>
  <c r="W13" i="1"/>
  <c r="W12" i="1"/>
  <c r="Y12" i="1"/>
  <c r="X12" i="1"/>
  <c r="Z12" i="1"/>
  <c r="Z46" i="1"/>
  <c r="Y46" i="1"/>
  <c r="X46" i="1"/>
  <c r="W46" i="1"/>
  <c r="Z14" i="1"/>
  <c r="Y14" i="1"/>
  <c r="X14" i="1"/>
  <c r="W14" i="1"/>
  <c r="F50" i="1"/>
  <c r="O6" i="1"/>
  <c r="U6" i="1" s="1"/>
  <c r="J74" i="1"/>
  <c r="S74" i="1" s="1"/>
  <c r="H77" i="1"/>
  <c r="J77" i="1"/>
  <c r="S77" i="1" s="1"/>
  <c r="J67" i="1"/>
  <c r="S67" i="1" s="1"/>
  <c r="J82" i="1"/>
  <c r="S82" i="1" s="1"/>
  <c r="H82" i="1"/>
  <c r="J96" i="1"/>
  <c r="S96" i="1" s="1"/>
  <c r="H96" i="1"/>
  <c r="J7" i="1"/>
  <c r="S7" i="1" s="1"/>
  <c r="H7" i="1"/>
  <c r="J24" i="1"/>
  <c r="S24" i="1" s="1"/>
  <c r="H24" i="1"/>
  <c r="J71" i="1"/>
  <c r="S71" i="1" s="1"/>
  <c r="H71" i="1"/>
  <c r="H40" i="1"/>
  <c r="J40" i="1"/>
  <c r="S40" i="1" s="1"/>
  <c r="J44" i="1"/>
  <c r="S44" i="1" s="1"/>
  <c r="H44" i="1"/>
  <c r="J100" i="1"/>
  <c r="S100" i="1" s="1"/>
  <c r="H100" i="1"/>
  <c r="J8" i="1"/>
  <c r="S8" i="1" s="1"/>
  <c r="H8" i="1"/>
  <c r="J62" i="1"/>
  <c r="S62" i="1" s="1"/>
  <c r="H62" i="1"/>
  <c r="J30" i="1"/>
  <c r="S30" i="1" s="1"/>
  <c r="H30" i="1"/>
  <c r="J33" i="1"/>
  <c r="S33" i="1" s="1"/>
  <c r="H33" i="1"/>
  <c r="J72" i="1"/>
  <c r="S72" i="1" s="1"/>
  <c r="H72" i="1"/>
  <c r="J13" i="1"/>
  <c r="S13" i="1" s="1"/>
  <c r="H13" i="1"/>
  <c r="J45" i="1"/>
  <c r="S45" i="1" s="1"/>
  <c r="H45" i="1"/>
  <c r="H79" i="1"/>
  <c r="J79" i="1"/>
  <c r="S79" i="1" s="1"/>
  <c r="J16" i="1"/>
  <c r="S16" i="1" s="1"/>
  <c r="H16" i="1"/>
  <c r="J75" i="1"/>
  <c r="S75" i="1" s="1"/>
  <c r="H75" i="1"/>
  <c r="J46" i="1"/>
  <c r="S46" i="1" s="1"/>
  <c r="H46" i="1"/>
  <c r="J73" i="1"/>
  <c r="S73" i="1" s="1"/>
  <c r="H73" i="1"/>
  <c r="J56" i="1"/>
  <c r="S56" i="1" s="1"/>
  <c r="H56" i="1"/>
  <c r="J60" i="1"/>
  <c r="S60" i="1" s="1"/>
  <c r="H60" i="1"/>
  <c r="H21" i="1"/>
  <c r="J21" i="1"/>
  <c r="S21" i="1" s="1"/>
  <c r="H34" i="1"/>
  <c r="J34" i="1"/>
  <c r="S34" i="1" s="1"/>
  <c r="J37" i="1"/>
  <c r="S37" i="1" s="1"/>
  <c r="H37" i="1"/>
  <c r="H98" i="1"/>
  <c r="J98" i="1"/>
  <c r="S98" i="1" s="1"/>
  <c r="J80" i="1"/>
  <c r="S80" i="1" s="1"/>
  <c r="H80" i="1"/>
  <c r="J28" i="1"/>
  <c r="S28" i="1" s="1"/>
  <c r="H28" i="1"/>
  <c r="J76" i="1"/>
  <c r="S76" i="1" s="1"/>
  <c r="H76" i="1"/>
  <c r="H69" i="1"/>
  <c r="J69" i="1"/>
  <c r="S69" i="1" s="1"/>
  <c r="H41" i="1"/>
  <c r="J41" i="1"/>
  <c r="S41" i="1" s="1"/>
  <c r="H9" i="1"/>
  <c r="J9" i="1"/>
  <c r="S9" i="1" s="1"/>
  <c r="J10" i="1"/>
  <c r="S10" i="1" s="1"/>
  <c r="H10" i="1"/>
  <c r="J11" i="1"/>
  <c r="S11" i="1" s="1"/>
  <c r="H11" i="1"/>
  <c r="J84" i="1"/>
  <c r="S84" i="1" s="1"/>
  <c r="H84" i="1"/>
  <c r="J93" i="1"/>
  <c r="S93" i="1" s="1"/>
  <c r="H93" i="1"/>
  <c r="J22" i="1"/>
  <c r="S22" i="1" s="1"/>
  <c r="H22" i="1"/>
  <c r="J38" i="1"/>
  <c r="S38" i="1" s="1"/>
  <c r="H38" i="1"/>
  <c r="J42" i="1"/>
  <c r="S42" i="1" s="1"/>
  <c r="H42" i="1"/>
  <c r="H99" i="1"/>
  <c r="J99" i="1"/>
  <c r="S99" i="1" s="1"/>
  <c r="J81" i="1"/>
  <c r="S81" i="1" s="1"/>
  <c r="H81" i="1"/>
  <c r="J14" i="1"/>
  <c r="S14" i="1" s="1"/>
  <c r="H14" i="1"/>
  <c r="J20" i="1"/>
  <c r="S20" i="1" s="1"/>
  <c r="H20" i="1"/>
  <c r="H12" i="1"/>
  <c r="J12" i="1"/>
  <c r="S12" i="1" s="1"/>
  <c r="J23" i="1"/>
  <c r="S23" i="1" s="1"/>
  <c r="H23" i="1"/>
  <c r="J32" i="1"/>
  <c r="S32" i="1" s="1"/>
  <c r="H32" i="1"/>
  <c r="H61" i="1"/>
  <c r="H27" i="1"/>
  <c r="H78" i="1"/>
  <c r="G6" i="1"/>
  <c r="T48" i="1" s="1"/>
  <c r="T52" i="1" s="1"/>
  <c r="J61" i="1"/>
  <c r="S61" i="1" s="1"/>
  <c r="J92" i="1"/>
  <c r="J27" i="1"/>
  <c r="S27" i="1" s="1"/>
  <c r="J78" i="1"/>
  <c r="S78" i="1" s="1"/>
  <c r="J83" i="1"/>
  <c r="S83" i="1" s="1"/>
  <c r="J35" i="1"/>
  <c r="S35" i="1" s="1"/>
  <c r="J54" i="1"/>
  <c r="S54" i="1" s="1"/>
  <c r="H67" i="1"/>
  <c r="H19" i="1"/>
  <c r="H29" i="1"/>
  <c r="H39" i="1"/>
  <c r="H74" i="1"/>
  <c r="H97" i="1"/>
  <c r="J97" i="1"/>
  <c r="S97" i="1" s="1"/>
  <c r="J19" i="1"/>
  <c r="S19" i="1" s="1"/>
  <c r="J29" i="1"/>
  <c r="S29" i="1" s="1"/>
  <c r="J39" i="1"/>
  <c r="S39" i="1" s="1"/>
  <c r="H15" i="1"/>
  <c r="H36" i="1"/>
  <c r="H43" i="1"/>
  <c r="J15" i="1"/>
  <c r="S15" i="1" s="1"/>
  <c r="J36" i="1"/>
  <c r="S36" i="1" s="1"/>
  <c r="J43" i="1"/>
  <c r="S43" i="1" s="1"/>
  <c r="B12" i="6" l="1"/>
  <c r="R12" i="6" s="1"/>
  <c r="U12" i="6" s="1"/>
  <c r="Z52" i="1"/>
  <c r="T54" i="1"/>
  <c r="T86" i="1"/>
  <c r="T90" i="1" s="1"/>
  <c r="J104" i="1"/>
  <c r="J3" i="6" s="1"/>
  <c r="M3" i="6" s="1"/>
  <c r="S92" i="1"/>
  <c r="S104" i="1" s="1"/>
  <c r="H104" i="1"/>
  <c r="T92" i="1"/>
  <c r="T104" i="1" s="1"/>
  <c r="G104" i="1"/>
  <c r="J4" i="6"/>
  <c r="M4" i="6" s="1"/>
  <c r="O104" i="1"/>
  <c r="J5" i="6" s="1"/>
  <c r="M5" i="6" s="1"/>
  <c r="U93" i="1"/>
  <c r="U104" i="1" s="1"/>
  <c r="E11" i="6"/>
  <c r="N11" i="6"/>
  <c r="Q11" i="6" s="1"/>
  <c r="R11" i="6"/>
  <c r="U11" i="6" s="1"/>
  <c r="E9" i="6"/>
  <c r="R9" i="6"/>
  <c r="U9" i="6" s="1"/>
  <c r="N9" i="6"/>
  <c r="Q9" i="6" s="1"/>
  <c r="E7" i="6"/>
  <c r="N7" i="6"/>
  <c r="Q7" i="6" s="1"/>
  <c r="R7" i="6"/>
  <c r="U7" i="6" s="1"/>
  <c r="S88" i="1"/>
  <c r="J88" i="1"/>
  <c r="T88" i="1"/>
  <c r="U88" i="1"/>
  <c r="O88" i="1"/>
  <c r="T6" i="1"/>
  <c r="B4" i="6"/>
  <c r="H54" i="1"/>
  <c r="H88" i="1" s="1"/>
  <c r="F4" i="6"/>
  <c r="I4" i="6" s="1"/>
  <c r="G88" i="1"/>
  <c r="O50" i="1"/>
  <c r="U48" i="1" s="1"/>
  <c r="U52" i="1" s="1"/>
  <c r="G50" i="1"/>
  <c r="W50" i="1"/>
  <c r="Z50" i="1"/>
  <c r="X50" i="1"/>
  <c r="U50" i="1"/>
  <c r="Y50" i="1"/>
  <c r="J6" i="1"/>
  <c r="S6" i="1" s="1"/>
  <c r="H6" i="1"/>
  <c r="E12" i="6" l="1"/>
  <c r="N12" i="6"/>
  <c r="Q12" i="6" s="1"/>
  <c r="U86" i="1"/>
  <c r="S86" i="1"/>
  <c r="E4" i="6"/>
  <c r="R4" i="6"/>
  <c r="U4" i="6" s="1"/>
  <c r="N4" i="6"/>
  <c r="Q4" i="6" s="1"/>
  <c r="H50" i="1"/>
  <c r="T50" i="1"/>
  <c r="J50" i="1"/>
  <c r="S48" i="1" s="1"/>
  <c r="S52" i="1" s="1"/>
  <c r="BR52" i="1" s="1"/>
  <c r="F3" i="6" l="1"/>
  <c r="I3" i="6" s="1"/>
  <c r="S90" i="1"/>
  <c r="BR90" i="1" s="1"/>
  <c r="F5" i="6"/>
  <c r="I5" i="6" s="1"/>
  <c r="I30" i="6" s="1"/>
  <c r="U90" i="1"/>
  <c r="B5" i="6"/>
  <c r="B3" i="6"/>
  <c r="S50" i="1"/>
  <c r="E5" i="6" l="1"/>
  <c r="R5" i="6"/>
  <c r="U5" i="6" s="1"/>
  <c r="N5" i="6"/>
  <c r="Q5" i="6" s="1"/>
  <c r="E3" i="6"/>
  <c r="E30" i="6" s="1"/>
  <c r="R3" i="6"/>
  <c r="U3" i="6" s="1"/>
  <c r="N3" i="6"/>
  <c r="Q3" i="6" s="1"/>
  <c r="BR50" i="1"/>
  <c r="BT50" i="1" s="1"/>
  <c r="AB88" i="1"/>
  <c r="AB104" i="1" l="1"/>
  <c r="BR104" i="1" s="1"/>
  <c r="BT104" i="1" s="1"/>
  <c r="AB106" i="1"/>
  <c r="BR106" i="1" s="1"/>
  <c r="J14" i="6"/>
  <c r="Q30" i="6"/>
  <c r="BR88" i="1"/>
  <c r="BT88" i="1" s="1"/>
  <c r="M14" i="6" l="1"/>
  <c r="M30" i="6" s="1"/>
  <c r="R14" i="6"/>
  <c r="U14" i="6" s="1"/>
  <c r="U30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<sst xmlns="http://schemas.openxmlformats.org/spreadsheetml/2006/main" count="670" uniqueCount="221">
  <si>
    <t>ROAD NAME</t>
  </si>
  <si>
    <t>TYPE OF WORK</t>
  </si>
  <si>
    <t>W. LAKESHORE DR</t>
  </si>
  <si>
    <t>S. LAKESHORE AVE</t>
  </si>
  <si>
    <t>LERO HOWE RD</t>
  </si>
  <si>
    <t>E. LAKSHORE DR</t>
  </si>
  <si>
    <t>LAKESHORE AVE</t>
  </si>
  <si>
    <t>LAMBERT RD</t>
  </si>
  <si>
    <t>S. LAMBERT RD</t>
  </si>
  <si>
    <t>PLANTATION CREEK DR</t>
  </si>
  <si>
    <t>GRIST MILL AVE</t>
  </si>
  <si>
    <t>AFTON CT</t>
  </si>
  <si>
    <t>HERITAGE CT</t>
  </si>
  <si>
    <t>PRINCE RD</t>
  </si>
  <si>
    <t>TRINIDAD DR</t>
  </si>
  <si>
    <t>Length</t>
  </si>
  <si>
    <t>Width</t>
  </si>
  <si>
    <t>Area (SY)</t>
  </si>
  <si>
    <t>Area (SF)</t>
  </si>
  <si>
    <t>TONS</t>
  </si>
  <si>
    <t>Volume (CY)</t>
  </si>
  <si>
    <t>Weight (lbs/in/SY)</t>
  </si>
  <si>
    <t>CURBS (FT)</t>
  </si>
  <si>
    <t>LAFITTE BROTHERS LN</t>
  </si>
  <si>
    <t>CITIZEN COMPLAINTS</t>
  </si>
  <si>
    <t>COUNCIL RESOLUTION</t>
  </si>
  <si>
    <t>QUAIL CREEK AVENUE</t>
  </si>
  <si>
    <t>SUMMERLIN DRIVE</t>
  </si>
  <si>
    <t>MYRTLE OAK COURT</t>
  </si>
  <si>
    <t>WILLOW LANE</t>
  </si>
  <si>
    <t>MAJESTIC OAK DRIVE</t>
  </si>
  <si>
    <t>MEADOW BROOK AVENUE</t>
  </si>
  <si>
    <t>BEACON STREET</t>
  </si>
  <si>
    <t>LIGHTHOUSE LANE</t>
  </si>
  <si>
    <t>PASS MANCHAC COURT</t>
  </si>
  <si>
    <t>WEST HARBOR COURT</t>
  </si>
  <si>
    <t>DOCK SIDE COURT</t>
  </si>
  <si>
    <t>BAYSIDE COURT</t>
  </si>
  <si>
    <t>LATE 2023 ADDS</t>
  </si>
  <si>
    <t>POIRRIER ROAD</t>
  </si>
  <si>
    <t>OLD CYPRESS CIRCLE</t>
  </si>
  <si>
    <t>MOSSY OAK COURT</t>
  </si>
  <si>
    <t>ANTEBELLUM COURT</t>
  </si>
  <si>
    <t>CAJUN BAYOU AVENUE</t>
  </si>
  <si>
    <t>J B TEMPLET ROAD</t>
  </si>
  <si>
    <t>RAVENWOOD DRIVE</t>
  </si>
  <si>
    <t>WINDMERE AVENUE</t>
  </si>
  <si>
    <t>IDENTIFIED 2022-3</t>
  </si>
  <si>
    <t>LA ROCHELLE DRIVE</t>
  </si>
  <si>
    <t>RONDA AVENUE</t>
  </si>
  <si>
    <t>CYPRESS BEND AVENUE</t>
  </si>
  <si>
    <t>WILLOW BRANCH AVENUE</t>
  </si>
  <si>
    <t>SYCAMORE BEND AVENUE</t>
  </si>
  <si>
    <t>MOSS SIDE DRIVE</t>
  </si>
  <si>
    <t>OAK BEND DRIVE</t>
  </si>
  <si>
    <t>CYPRESS GOLD DRIVE</t>
  </si>
  <si>
    <t>BAYLEAF DRIVE</t>
  </si>
  <si>
    <t>PATCHING</t>
  </si>
  <si>
    <t>PAVING/RECONSTRUCTION</t>
  </si>
  <si>
    <t>MANHOLE</t>
  </si>
  <si>
    <t>Mill, Patch, Overlay</t>
  </si>
  <si>
    <t>Total Reconstruction</t>
  </si>
  <si>
    <t>BLACK CHERRY COURT</t>
  </si>
  <si>
    <t>WILD CHERRY AVENUE</t>
  </si>
  <si>
    <t>W CHERRY CREEK DRIVE</t>
  </si>
  <si>
    <t>AUTUMN CROSSING</t>
  </si>
  <si>
    <t>E AUTUMN DRIVE</t>
  </si>
  <si>
    <t>W AUTUMN DRIVE</t>
  </si>
  <si>
    <t>N AUTUMN DRIVE</t>
  </si>
  <si>
    <t>TULIP HILL AVENUE</t>
  </si>
  <si>
    <t>ROSEMONT DRIVE</t>
  </si>
  <si>
    <t>BLOSSOM TRAIL DRIVE</t>
  </si>
  <si>
    <t>EVERGREEN HILL DRIVE</t>
  </si>
  <si>
    <t>ORCHID DRIVE</t>
  </si>
  <si>
    <t>CHRISTY DRIVE</t>
  </si>
  <si>
    <t>CAROL STREET</t>
  </si>
  <si>
    <t>JULIE DRIVE</t>
  </si>
  <si>
    <t xml:space="preserve">S AUTUMN AVENUE </t>
  </si>
  <si>
    <t>BAYOU VIEW AVENUE</t>
  </si>
  <si>
    <t>S BAYOU VIEW DRIVE</t>
  </si>
  <si>
    <t>PIROGUE AVENUE</t>
  </si>
  <si>
    <t>N BAYOU VIEW DRIVE</t>
  </si>
  <si>
    <t>OLD BAYOU AVENUE</t>
  </si>
  <si>
    <t>STONE RIDGE AVENUE</t>
  </si>
  <si>
    <t>STONE HEDGE DRIVE</t>
  </si>
  <si>
    <t>STONE WAY DRIVE</t>
  </si>
  <si>
    <t>SAND STONE DRIVE</t>
  </si>
  <si>
    <t>GEMSTONE DRIVE</t>
  </si>
  <si>
    <t>AVERAGE PRICING</t>
  </si>
  <si>
    <t>ASPHALT PER TON</t>
  </si>
  <si>
    <t>MILLING PER SY</t>
  </si>
  <si>
    <t>PATCHING PER SY</t>
  </si>
  <si>
    <t>CURB PER FT</t>
  </si>
  <si>
    <t>CONCRETE DWs</t>
  </si>
  <si>
    <t>5% IN-PLACE CEMENT TREATED BASE COURSE W/ STABILIZATION PER SY</t>
  </si>
  <si>
    <t>7% IN-PLACE CEMENT TREATED BASE COURSE W/ STABILIZATION PER SY</t>
  </si>
  <si>
    <t>9% IN-PLACE CEMENT TREATED BASE COURSE W/ STABILIZATION PER SY</t>
  </si>
  <si>
    <t>LIME TREATMENT PER SY</t>
  </si>
  <si>
    <t>BLADING &amp; RESHAPING EXISTING AGGREGATE SHOULDER PER MI</t>
  </si>
  <si>
    <t>ASPHALT (TON)</t>
  </si>
  <si>
    <t>PAVEMENT PATCHING (SY)</t>
  </si>
  <si>
    <t>REMOVE / REPLACE CURB &amp; GUTTER (FT)</t>
  </si>
  <si>
    <t>5% IN-PLACE CEMENT TREATED BASE COURSE W/ STABILIZATION (SY)</t>
  </si>
  <si>
    <t>7% IN-PLACE CEMENT TREATED BASE COURSE W/ STABILIZATION (SY)</t>
  </si>
  <si>
    <t>9% IN-PLACE CEMENT TREATED BASE COURSE W/ STABILIZATION (SY)</t>
  </si>
  <si>
    <t>LIME TREATMENT (SY)</t>
  </si>
  <si>
    <t>AVERAGES OF ESTIMATES</t>
  </si>
  <si>
    <t>STONE AGGREGATE SURFACE COURSE FOR SHOULDERS PER CY</t>
  </si>
  <si>
    <t>RECLAIMED ASPHALT PAVEMENT AGGREGATE FOR SHOULDERS PER CY</t>
  </si>
  <si>
    <t>STONE AGGREGATE SURFACE COURSE FOR SHOULDERS (CY)</t>
  </si>
  <si>
    <t>RECLAIMED ASPHALT PAVEMENT AGGREGATE FOR SHOULDERS (CY)</t>
  </si>
  <si>
    <t>CHERRY HILL AVENUE</t>
  </si>
  <si>
    <t>ADJUSTING MANHOLE FRAMES W/ ADJUSTMENT RINGS</t>
  </si>
  <si>
    <t>CHERRY CREEK DRIVE</t>
  </si>
  <si>
    <t>AUTUMN WOODS BLVD</t>
  </si>
  <si>
    <t>LAKE HARBOR LANE</t>
  </si>
  <si>
    <r>
      <t>MOBILIZATION FOR T.O. &gt; $500K (</t>
    </r>
    <r>
      <rPr>
        <b/>
        <sz val="11"/>
        <color theme="1"/>
        <rFont val="Calibri"/>
        <family val="2"/>
        <scheme val="minor"/>
      </rPr>
      <t>BARBER BROS BID NOT INCLUDED</t>
    </r>
    <r>
      <rPr>
        <sz val="11"/>
        <color theme="1"/>
        <rFont val="Calibri"/>
        <family val="2"/>
        <scheme val="minor"/>
      </rPr>
      <t>)</t>
    </r>
  </si>
  <si>
    <t>COLD PLANING (MILLING) (SY)</t>
  </si>
  <si>
    <t>BLADING &amp; RESHAPING EXISTING AGGREGATE SHOULDER (MI)</t>
  </si>
  <si>
    <t>Lift (IN)</t>
  </si>
  <si>
    <t>CY=(SF*2)*(0.167)/27</t>
  </si>
  <si>
    <t>SF---&gt; CY</t>
  </si>
  <si>
    <t>MOBILIZATIONS (7) (SEE MAP)</t>
  </si>
  <si>
    <t xml:space="preserve">TEMP SIGNS &amp; BARRICADES </t>
  </si>
  <si>
    <t>TEMP SIGNS &amp; BARRICADES; T.O. &gt;$25K AND &lt;$200K</t>
  </si>
  <si>
    <t>SELECT FILL FOR SHOULDERS AND DRESSING AROUND DWs (CY)</t>
  </si>
  <si>
    <t>18" RCP</t>
  </si>
  <si>
    <t>24" RCP</t>
  </si>
  <si>
    <t>30" RCP</t>
  </si>
  <si>
    <t>36" RCP</t>
  </si>
  <si>
    <t>48" RCP</t>
  </si>
  <si>
    <t>18" RCPA</t>
  </si>
  <si>
    <t>24" RCPA</t>
  </si>
  <si>
    <t>30" RCPA</t>
  </si>
  <si>
    <t>36" RCPA</t>
  </si>
  <si>
    <t>42" RCPA</t>
  </si>
  <si>
    <t>24" PLASTIC</t>
  </si>
  <si>
    <t>30" PLASTIC</t>
  </si>
  <si>
    <t>36" PLASTIC</t>
  </si>
  <si>
    <t>48" PLASTIC</t>
  </si>
  <si>
    <t>4" WHITE STRIPING</t>
  </si>
  <si>
    <t>4" WHITE STRIPING PER MI</t>
  </si>
  <si>
    <t>4" YELLOW BROKEN STRIPING</t>
  </si>
  <si>
    <t>4" YELLOW BROKEN STRIPING PER MI</t>
  </si>
  <si>
    <t>24" SOLID WHITE STOP BAR</t>
  </si>
  <si>
    <t>6" CONCRETE DW</t>
  </si>
  <si>
    <t>CONCRETE DRIVEWAY</t>
  </si>
  <si>
    <t>SAW CUTTING</t>
  </si>
  <si>
    <t>CULVERTS</t>
  </si>
  <si>
    <t>STRIPING</t>
  </si>
  <si>
    <t>MANHOLES</t>
  </si>
  <si>
    <t>SHOULDERS</t>
  </si>
  <si>
    <t>RESTORE CATCH BASIN</t>
  </si>
  <si>
    <t xml:space="preserve"> </t>
  </si>
  <si>
    <t xml:space="preserve">MOBILIZATIONS - (2) - (1) EAST BANK; (1) WEST BANK </t>
  </si>
  <si>
    <t>ROAD</t>
  </si>
  <si>
    <t>LOW</t>
  </si>
  <si>
    <t>MEDIUM</t>
  </si>
  <si>
    <t>HIGH</t>
  </si>
  <si>
    <t>PRIORITY LEVEL</t>
  </si>
  <si>
    <t>Totals</t>
  </si>
  <si>
    <t>Unit Price</t>
  </si>
  <si>
    <t>Quantity</t>
  </si>
  <si>
    <t>Width (Ft)</t>
  </si>
  <si>
    <t>Depth (In)</t>
  </si>
  <si>
    <t>Factor</t>
  </si>
  <si>
    <t>X</t>
  </si>
  <si>
    <t>CONTINGENCY</t>
  </si>
  <si>
    <t>Cost</t>
  </si>
  <si>
    <t>Length Required (LF)</t>
  </si>
  <si>
    <t>4" White Striping</t>
  </si>
  <si>
    <t>Existing</t>
  </si>
  <si>
    <t>4" Yellow Broken Stripe</t>
  </si>
  <si>
    <t>Number of Stop Bars</t>
  </si>
  <si>
    <t>24" Solid White Stop Bar</t>
  </si>
  <si>
    <t>Restore Catch Basin (Each)</t>
  </si>
  <si>
    <t>Number</t>
  </si>
  <si>
    <t>Adjustment</t>
  </si>
  <si>
    <t>6" Concrete Driveway (SQ YD)</t>
  </si>
  <si>
    <t>Length (ft)</t>
  </si>
  <si>
    <t>Width (ft)</t>
  </si>
  <si>
    <t>Pay Item</t>
  </si>
  <si>
    <t>Unit</t>
  </si>
  <si>
    <t>TON</t>
  </si>
  <si>
    <t>SY</t>
  </si>
  <si>
    <t>LF</t>
  </si>
  <si>
    <t>MI</t>
  </si>
  <si>
    <t>CY</t>
  </si>
  <si>
    <t>EACH</t>
  </si>
  <si>
    <t>MILE</t>
  </si>
  <si>
    <t>ASPHALT</t>
  </si>
  <si>
    <t>COLD PLANING (MILLING)</t>
  </si>
  <si>
    <t>PAVEMENT PATCHING</t>
  </si>
  <si>
    <t>REMOVE/REPLACE CURB AND GUTTER</t>
  </si>
  <si>
    <t>OR</t>
  </si>
  <si>
    <t>5% IN-PLACE CEMENT TREATED BASE COURSE W/STABILIZATION</t>
  </si>
  <si>
    <t>7% IN-PLACE CEMENT TREATED BASE COURSE W/STABILIZATION</t>
  </si>
  <si>
    <t>9% IN-PLACE CEMENT TREATED BASE COURSE W/STABILIZATION</t>
  </si>
  <si>
    <t xml:space="preserve">LIME TREATMENT </t>
  </si>
  <si>
    <t>BLADING AND RESHAPING EXISTING AGGREGATE SHOULDERS</t>
  </si>
  <si>
    <t>STONE AGGREGATE SURFACE COURSE FOR SHOULDERS</t>
  </si>
  <si>
    <t>RECLAIMED ASPHALT PAVEMENT AGGREGATE FOR SHOULDERS</t>
  </si>
  <si>
    <t>ADJUSTING MANHOLE FRAMES W/ADJUSTMENT RINGS</t>
  </si>
  <si>
    <t>LUMP SUM</t>
  </si>
  <si>
    <t>TEMP SIGNS AND BARRICADES (TASK ORDERS &gt; $500,000)</t>
  </si>
  <si>
    <t>SELECT FILL FOR SHOULDERS AND DRESSING AROUND DRIVEWAYS</t>
  </si>
  <si>
    <t>MOBILIZATION (FOR TASK ORDERS &gt; $500,000)</t>
  </si>
  <si>
    <t>CONCRETE DRIVE (6" THICK)</t>
  </si>
  <si>
    <t>BASE BID</t>
  </si>
  <si>
    <t>ALT 1</t>
  </si>
  <si>
    <t>ALT 2</t>
  </si>
  <si>
    <t>MOBILIZATION</t>
  </si>
  <si>
    <t>Bedding Material (CY)</t>
  </si>
  <si>
    <t>Depth (in)</t>
  </si>
  <si>
    <t>Diameter (ft)</t>
  </si>
  <si>
    <t>Clearance (ft)</t>
  </si>
  <si>
    <t>BEDDING MATERIAL</t>
  </si>
  <si>
    <t>BASE + ALT 1</t>
  </si>
  <si>
    <t>BASE + ALT 1 + ALT 2</t>
  </si>
  <si>
    <t>SELECT FILL FOR SHOULDERS AND DRESSING AROUND DRIVEWAYS (CY)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</si>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</sst>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"/>
    <numFmt numFmtId="165" formatCode="&quot;$&quot;#,##0"/>
    <numFmt numFmtId="166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95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/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textRotation="90"/>
    </xf>
    <xf numFmtId="0" fontId="0" fillId="0" borderId="0" xfId="0" applyAlignment="1">
      <alignment horizontal="right"/>
    </xf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1" fillId="0" borderId="0" xfId="0" applyFont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165" fontId="0" fillId="0" borderId="0" xfId="0" applyNumberFormat="1" applyAlignment="1">
      <alignment wrapText="1"/>
    </xf>
    <xf numFmtId="3" fontId="1" fillId="0" borderId="0" xfId="0" applyNumberFormat="1" applyFont="1" applyAlignment="1">
      <alignment horizontal="center" wrapText="1"/>
    </xf>
    <xf numFmtId="0" fontId="3" fillId="2" borderId="0" xfId="0" applyFont="1" applyFill="1" applyAlignment="1">
      <alignment vertical="center" textRotation="90"/>
    </xf>
    <xf numFmtId="0" fontId="3" fillId="2" borderId="0" xfId="0" applyFont="1" applyFill="1"/>
    <xf numFmtId="164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/>
    <xf numFmtId="0" fontId="1" fillId="3" borderId="0" xfId="0" applyFont="1" applyFill="1"/>
    <xf numFmtId="0" fontId="0" fillId="0" borderId="0" xfId="0" applyAlignment="1">
      <alignment horizontal="left"/>
    </xf>
    <xf numFmtId="165" fontId="0" fillId="0" borderId="0" xfId="0" applyNumberFormat="1" applyAlignment="1">
      <alignment horizontal="left" wrapText="1"/>
    </xf>
    <xf numFmtId="0" fontId="0" fillId="3" borderId="0" xfId="0" applyFill="1"/>
    <xf numFmtId="166" fontId="0" fillId="0" borderId="0" xfId="0" applyNumberFormat="1"/>
    <xf numFmtId="4" fontId="1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2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0" fontId="0" fillId="2" borderId="0" xfId="0" applyFill="1"/>
    <xf numFmtId="0" fontId="3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wrapText="1"/>
    </xf>
    <xf numFmtId="166" fontId="3" fillId="2" borderId="0" xfId="0" applyNumberFormat="1" applyFont="1" applyFill="1"/>
    <xf numFmtId="166" fontId="0" fillId="0" borderId="0" xfId="0" applyNumberFormat="1" applyAlignment="1">
      <alignment horizontal="left" wrapText="1"/>
    </xf>
    <xf numFmtId="0" fontId="3" fillId="4" borderId="0" xfId="0" applyFont="1" applyFill="1" applyAlignment="1">
      <alignment vertical="center" textRotation="90"/>
    </xf>
    <xf numFmtId="0" fontId="3" fillId="4" borderId="0" xfId="0" applyFont="1" applyFill="1"/>
    <xf numFmtId="2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4" fontId="1" fillId="0" borderId="0" xfId="0" applyNumberFormat="1" applyFont="1"/>
    <xf numFmtId="44" fontId="0" fillId="0" borderId="0" xfId="0" applyNumberFormat="1"/>
    <xf numFmtId="44" fontId="1" fillId="0" borderId="0" xfId="0" applyNumberFormat="1" applyFont="1" applyAlignment="1">
      <alignment horizontal="center" wrapText="1"/>
    </xf>
    <xf numFmtId="44" fontId="3" fillId="4" borderId="0" xfId="0" applyNumberFormat="1" applyFont="1" applyFill="1"/>
    <xf numFmtId="44" fontId="3" fillId="2" borderId="0" xfId="0" applyNumberFormat="1" applyFont="1" applyFill="1"/>
    <xf numFmtId="44" fontId="0" fillId="0" borderId="0" xfId="0" applyNumberFormat="1" applyAlignment="1">
      <alignment horizontal="center"/>
    </xf>
    <xf numFmtId="9" fontId="1" fillId="0" borderId="0" xfId="2" applyFont="1"/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4" fontId="7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wrapText="1"/>
    </xf>
    <xf numFmtId="44" fontId="1" fillId="0" borderId="0" xfId="0" applyNumberFormat="1" applyFont="1" applyAlignment="1">
      <alignment horizontal="center"/>
    </xf>
    <xf numFmtId="44" fontId="3" fillId="4" borderId="0" xfId="0" applyNumberFormat="1" applyFont="1" applyFill="1" applyAlignment="1">
      <alignment horizontal="center"/>
    </xf>
    <xf numFmtId="0" fontId="0" fillId="0" borderId="2" xfId="0" applyBorder="1"/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44" fontId="0" fillId="0" borderId="2" xfId="0" applyNumberFormat="1" applyBorder="1"/>
    <xf numFmtId="44" fontId="0" fillId="0" borderId="2" xfId="0" applyNumberFormat="1" applyBorder="1" applyAlignment="1">
      <alignment horizontal="center"/>
    </xf>
    <xf numFmtId="44" fontId="0" fillId="0" borderId="3" xfId="0" applyNumberFormat="1" applyBorder="1"/>
    <xf numFmtId="0" fontId="1" fillId="5" borderId="4" xfId="0" applyFont="1" applyFill="1" applyBorder="1" applyAlignment="1">
      <alignment horizontal="center" vertical="center" textRotation="90"/>
    </xf>
    <xf numFmtId="44" fontId="0" fillId="0" borderId="5" xfId="0" applyNumberFormat="1" applyBorder="1"/>
    <xf numFmtId="0" fontId="1" fillId="5" borderId="4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wrapText="1"/>
    </xf>
    <xf numFmtId="2" fontId="1" fillId="0" borderId="0" xfId="0" applyNumberFormat="1" applyFont="1"/>
    <xf numFmtId="164" fontId="1" fillId="0" borderId="0" xfId="0" applyNumberFormat="1" applyFont="1"/>
    <xf numFmtId="44" fontId="1" fillId="3" borderId="0" xfId="0" applyNumberFormat="1" applyFont="1" applyFill="1"/>
    <xf numFmtId="44" fontId="1" fillId="0" borderId="0" xfId="1" applyFont="1" applyBorder="1" applyAlignment="1">
      <alignment horizontal="center"/>
    </xf>
    <xf numFmtId="0" fontId="1" fillId="5" borderId="6" xfId="0" applyFont="1" applyFill="1" applyBorder="1" applyAlignment="1">
      <alignment horizontal="center" vertical="center" textRotation="90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7" xfId="0" applyNumberFormat="1" applyBorder="1" applyAlignment="1">
      <alignment horizontal="center"/>
    </xf>
    <xf numFmtId="44" fontId="0" fillId="0" borderId="7" xfId="0" applyNumberFormat="1" applyBorder="1"/>
    <xf numFmtId="44" fontId="0" fillId="0" borderId="7" xfId="0" applyNumberFormat="1" applyBorder="1" applyAlignment="1">
      <alignment horizontal="center"/>
    </xf>
    <xf numFmtId="44" fontId="0" fillId="0" borderId="8" xfId="0" applyNumberFormat="1" applyBorder="1"/>
    <xf numFmtId="9" fontId="0" fillId="0" borderId="0" xfId="2" applyFont="1" applyAlignment="1">
      <alignment horizontal="center"/>
    </xf>
    <xf numFmtId="0" fontId="1" fillId="6" borderId="4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 textRotation="90" readingOrder="1"/>
    </xf>
    <xf numFmtId="0" fontId="1" fillId="6" borderId="6" xfId="0" applyFont="1" applyFill="1" applyBorder="1" applyAlignment="1">
      <alignment horizontal="center" vertical="center" textRotation="90" readingOrder="1"/>
    </xf>
    <xf numFmtId="2" fontId="0" fillId="0" borderId="0" xfId="0" applyNumberFormat="1"/>
    <xf numFmtId="2" fontId="0" fillId="0" borderId="2" xfId="0" applyNumberFormat="1" applyBorder="1"/>
    <xf numFmtId="44" fontId="1" fillId="0" borderId="5" xfId="1" applyFont="1" applyBorder="1" applyAlignment="1">
      <alignment horizontal="center"/>
    </xf>
    <xf numFmtId="44" fontId="1" fillId="0" borderId="5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44" fontId="0" fillId="0" borderId="13" xfId="0" applyNumberFormat="1" applyBorder="1" applyAlignment="1">
      <alignment horizontal="center"/>
    </xf>
    <xf numFmtId="44" fontId="0" fillId="0" borderId="14" xfId="0" applyNumberFormat="1" applyBorder="1"/>
    <xf numFmtId="0" fontId="0" fillId="0" borderId="16" xfId="0" applyBorder="1" applyAlignment="1">
      <alignment horizontal="center"/>
    </xf>
    <xf numFmtId="44" fontId="0" fillId="0" borderId="16" xfId="0" applyNumberFormat="1" applyBorder="1" applyAlignment="1">
      <alignment horizontal="center"/>
    </xf>
    <xf numFmtId="44" fontId="0" fillId="0" borderId="17" xfId="0" applyNumberFormat="1" applyBorder="1"/>
    <xf numFmtId="0" fontId="0" fillId="0" borderId="18" xfId="0" applyBorder="1"/>
    <xf numFmtId="0" fontId="0" fillId="0" borderId="19" xfId="0" applyBorder="1" applyAlignment="1">
      <alignment horizontal="left"/>
    </xf>
    <xf numFmtId="2" fontId="0" fillId="0" borderId="19" xfId="0" applyNumberFormat="1" applyBorder="1" applyAlignment="1">
      <alignment horizontal="left"/>
    </xf>
    <xf numFmtId="0" fontId="0" fillId="0" borderId="20" xfId="0" applyBorder="1" applyAlignment="1">
      <alignment horizontal="left"/>
    </xf>
    <xf numFmtId="2" fontId="0" fillId="0" borderId="12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21" xfId="0" applyBorder="1" applyAlignment="1">
      <alignment horizontal="left" wrapText="1"/>
    </xf>
    <xf numFmtId="2" fontId="0" fillId="0" borderId="22" xfId="0" applyNumberFormat="1" applyBorder="1" applyAlignment="1">
      <alignment horizontal="center" wrapText="1"/>
    </xf>
    <xf numFmtId="0" fontId="0" fillId="0" borderId="23" xfId="0" applyBorder="1" applyAlignment="1">
      <alignment horizontal="center"/>
    </xf>
    <xf numFmtId="44" fontId="0" fillId="0" borderId="23" xfId="0" applyNumberFormat="1" applyBorder="1" applyAlignment="1">
      <alignment horizontal="center"/>
    </xf>
    <xf numFmtId="44" fontId="0" fillId="0" borderId="24" xfId="0" applyNumberFormat="1" applyBorder="1"/>
    <xf numFmtId="0" fontId="1" fillId="7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textRotation="90" readingOrder="1"/>
    </xf>
    <xf numFmtId="0" fontId="1" fillId="7" borderId="6" xfId="0" applyFont="1" applyFill="1" applyBorder="1" applyAlignment="1">
      <alignment horizontal="center" vertical="center" textRotation="90"/>
    </xf>
    <xf numFmtId="0" fontId="1" fillId="0" borderId="7" xfId="0" applyFont="1" applyBorder="1"/>
    <xf numFmtId="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44" fontId="1" fillId="0" borderId="7" xfId="0" applyNumberFormat="1" applyFont="1" applyBorder="1"/>
    <xf numFmtId="44" fontId="1" fillId="0" borderId="7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44" fontId="1" fillId="0" borderId="8" xfId="0" applyNumberFormat="1" applyFont="1" applyBorder="1"/>
    <xf numFmtId="2" fontId="0" fillId="0" borderId="22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44" fontId="0" fillId="0" borderId="17" xfId="0" applyNumberFormat="1" applyBorder="1" applyAlignment="1">
      <alignment horizontal="center"/>
    </xf>
    <xf numFmtId="44" fontId="0" fillId="0" borderId="10" xfId="0" applyNumberFormat="1" applyBorder="1"/>
    <xf numFmtId="44" fontId="0" fillId="0" borderId="11" xfId="0" applyNumberFormat="1" applyBorder="1"/>
    <xf numFmtId="44" fontId="0" fillId="0" borderId="13" xfId="0" applyNumberFormat="1" applyBorder="1"/>
    <xf numFmtId="0" fontId="0" fillId="0" borderId="13" xfId="0" applyBorder="1"/>
    <xf numFmtId="0" fontId="0" fillId="0" borderId="14" xfId="0" applyBorder="1"/>
    <xf numFmtId="0" fontId="0" fillId="0" borderId="16" xfId="0" applyBorder="1"/>
    <xf numFmtId="2" fontId="0" fillId="0" borderId="9" xfId="0" applyNumberFormat="1" applyBorder="1" applyAlignment="1">
      <alignment horizontal="center"/>
    </xf>
    <xf numFmtId="44" fontId="0" fillId="0" borderId="11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44" fontId="0" fillId="0" borderId="14" xfId="0" applyNumberFormat="1" applyBorder="1" applyAlignment="1">
      <alignment horizontal="center"/>
    </xf>
    <xf numFmtId="44" fontId="0" fillId="0" borderId="16" xfId="1" applyFont="1" applyBorder="1" applyAlignment="1">
      <alignment horizontal="center"/>
    </xf>
    <xf numFmtId="44" fontId="0" fillId="0" borderId="10" xfId="1" applyFont="1" applyBorder="1" applyAlignment="1">
      <alignment horizontal="center"/>
    </xf>
    <xf numFmtId="44" fontId="0" fillId="0" borderId="13" xfId="1" applyFont="1" applyBorder="1" applyAlignment="1">
      <alignment horizontal="center"/>
    </xf>
    <xf numFmtId="44" fontId="0" fillId="0" borderId="0" xfId="1" applyFont="1" applyAlignment="1">
      <alignment horizontal="center"/>
    </xf>
    <xf numFmtId="44" fontId="0" fillId="0" borderId="0" xfId="0" applyNumberFormat="1" applyAlignment="1">
      <alignment horizontal="center"/>
    </xf>
    <xf numFmtId="44" fontId="0" fillId="0" borderId="2" xfId="0" applyNumberFormat="1" applyBorder="1" applyAlignment="1">
      <alignment horizontal="center"/>
    </xf>
    <xf numFmtId="44" fontId="1" fillId="0" borderId="0" xfId="1" applyFont="1" applyBorder="1" applyAlignment="1">
      <alignment horizontal="center"/>
    </xf>
    <xf numFmtId="44" fontId="1" fillId="0" borderId="5" xfId="1" applyFont="1" applyBorder="1" applyAlignment="1">
      <alignment horizontal="center"/>
    </xf>
    <xf numFmtId="44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4" fontId="1" fillId="0" borderId="5" xfId="0" applyNumberFormat="1" applyFont="1" applyBorder="1" applyAlignment="1">
      <alignment horizontal="center"/>
    </xf>
    <xf numFmtId="44" fontId="7" fillId="0" borderId="0" xfId="0" applyNumberFormat="1" applyFont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5" xfId="0" applyNumberFormat="1" applyBorder="1" applyAlignment="1">
      <alignment horizontal="center"/>
    </xf>
    <xf numFmtId="44" fontId="7" fillId="0" borderId="0" xfId="0" applyNumberFormat="1" applyFont="1" applyAlignment="1">
      <alignment horizontal="center"/>
    </xf>
    <xf numFmtId="44" fontId="1" fillId="0" borderId="0" xfId="0" applyNumberFormat="1" applyFont="1" applyAlignment="1">
      <alignment horizontal="center" wrapText="1"/>
    </xf>
    <xf numFmtId="0" fontId="1" fillId="7" borderId="1" xfId="0" applyFont="1" applyFill="1" applyBorder="1" applyAlignment="1">
      <alignment horizontal="center" vertical="center" textRotation="90" readingOrder="1"/>
    </xf>
    <xf numFmtId="0" fontId="1" fillId="7" borderId="4" xfId="0" applyFont="1" applyFill="1" applyBorder="1" applyAlignment="1">
      <alignment horizontal="center" vertical="center" textRotation="90" readingOrder="1"/>
    </xf>
    <xf numFmtId="0" fontId="1" fillId="6" borderId="1" xfId="0" applyFont="1" applyFill="1" applyBorder="1" applyAlignment="1">
      <alignment horizontal="center" vertical="center" textRotation="90" readingOrder="1"/>
    </xf>
    <xf numFmtId="0" fontId="1" fillId="6" borderId="4" xfId="0" applyFont="1" applyFill="1" applyBorder="1" applyAlignment="1">
      <alignment horizontal="center" vertical="center" textRotation="90" readingOrder="1"/>
    </xf>
    <xf numFmtId="0" fontId="1" fillId="5" borderId="1" xfId="0" applyFont="1" applyFill="1" applyBorder="1" applyAlignment="1">
      <alignment horizontal="center" vertical="center" textRotation="90"/>
    </xf>
    <xf numFmtId="0" fontId="1" fillId="5" borderId="4" xfId="0" applyFont="1" applyFill="1" applyBorder="1" applyAlignment="1">
      <alignment horizontal="center" vertical="center" textRotation="90"/>
    </xf>
    <xf numFmtId="4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 vertical="center" textRotation="9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44" fontId="1" fillId="0" borderId="0" xfId="0" applyNumberFormat="1" applyFont="1" applyAlignment="1">
      <alignment horizontal="center" vertical="center" wrapText="1"/>
    </xf>
    <xf numFmtId="44" fontId="0" fillId="0" borderId="17" xfId="0" applyNumberFormat="1" applyBorder="1" applyAlignment="1">
      <alignment horizontal="center" vertical="center"/>
    </xf>
    <xf numFmtId="44" fontId="0" fillId="0" borderId="24" xfId="0" applyNumberFormat="1" applyBorder="1" applyAlignment="1">
      <alignment vertical="center"/>
    </xf>
    <xf numFmtId="44" fontId="0" fillId="0" borderId="14" xfId="0" applyNumberFormat="1" applyBorder="1" applyAlignment="1">
      <alignment vertical="center"/>
    </xf>
    <xf numFmtId="44" fontId="0" fillId="0" borderId="17" xfId="0" applyNumberFormat="1" applyBorder="1" applyAlignment="1">
      <alignment vertical="center"/>
    </xf>
    <xf numFmtId="44" fontId="0" fillId="0" borderId="0" xfId="0" applyNumberFormat="1" applyAlignment="1">
      <alignment vertical="center"/>
    </xf>
    <xf numFmtId="44" fontId="0" fillId="0" borderId="16" xfId="0" applyNumberFormat="1" applyBorder="1" applyAlignment="1">
      <alignment horizontal="center" vertical="center"/>
    </xf>
    <xf numFmtId="44" fontId="0" fillId="0" borderId="23" xfId="0" applyNumberFormat="1" applyBorder="1" applyAlignment="1">
      <alignment horizontal="center" vertical="center"/>
    </xf>
    <xf numFmtId="44" fontId="0" fillId="0" borderId="13" xfId="0" applyNumberFormat="1" applyBorder="1" applyAlignment="1">
      <alignment horizontal="center" vertical="center" wrapText="1"/>
    </xf>
    <xf numFmtId="44" fontId="0" fillId="0" borderId="13" xfId="0" applyNumberFormat="1" applyBorder="1" applyAlignment="1">
      <alignment horizontal="center" vertical="center"/>
    </xf>
    <xf numFmtId="44" fontId="6" fillId="0" borderId="13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0" fillId="0" borderId="25" xfId="0" applyBorder="1"/>
    <xf numFmtId="0" fontId="1" fillId="0" borderId="0" xfId="0" applyFont="1" applyBorder="1" applyAlignment="1">
      <alignment horizontal="center" vertical="center" textRotation="90" readingOrder="1"/>
    </xf>
    <xf numFmtId="0" fontId="1" fillId="0" borderId="25" xfId="0" applyFont="1" applyBorder="1" applyAlignment="1">
      <alignment horizontal="center" vertical="center" textRotation="90" readingOrder="1"/>
    </xf>
    <xf numFmtId="0" fontId="1" fillId="0" borderId="0" xfId="0" applyFont="1" applyBorder="1" applyAlignment="1">
      <alignment horizontal="center" vertical="center" textRotation="90"/>
    </xf>
    <xf numFmtId="0" fontId="1" fillId="0" borderId="25" xfId="0" applyFont="1" applyBorder="1" applyAlignment="1">
      <alignment horizontal="center" vertical="center" textRotation="90"/>
    </xf>
    <xf numFmtId="0" fontId="0" fillId="0" borderId="0" xfId="0" applyBorder="1"/>
    <xf numFmtId="0" fontId="1" fillId="0" borderId="26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 readingOrder="1"/>
    </xf>
    <xf numFmtId="44" fontId="0" fillId="0" borderId="0" xfId="0" applyNumberFormat="1" applyAlignment="1">
      <alignment horizontal="center" wrapText="1"/>
    </xf>
    <xf numFmtId="44" fontId="0" fillId="0" borderId="2" xfId="0" applyNumberFormat="1" applyBorder="1" applyAlignment="1">
      <alignment horizontal="center" wrapText="1"/>
    </xf>
    <xf numFmtId="44" fontId="0" fillId="0" borderId="7" xfId="0" applyNumberFormat="1" applyBorder="1" applyAlignment="1">
      <alignment horizont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57150</xdr:rowOff>
    </xdr:from>
    <xdr:to>
      <xdr:col>15</xdr:col>
      <xdr:colOff>590550</xdr:colOff>
      <xdr:row>37</xdr:row>
      <xdr:rowOff>58382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C579D-6A1A-4BFF-83F5-3B4C6A27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7650"/>
          <a:ext cx="9658350" cy="6859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55A27-7A60-424D-A9C4-0E14CC417B12}">
  <sheetPr codeName="Sheet1">
    <tabColor rgb="FF0070C0"/>
  </sheetPr>
  <dimension ref="A1:BT111"/>
  <sheetViews>
    <sheetView tabSelected="1" zoomScale="80" zoomScaleNormal="80" workbookViewId="0">
      <pane ySplit="5" topLeftCell="A78" activePane="bottomLeft" state="frozen"/>
      <selection activeCell="T1" sqref="T1"/>
      <selection pane="bottomLeft" activeCell="W10" sqref="W10"/>
    </sheetView>
  </sheetViews>
  <sheetFormatPr defaultRowHeight="15" x14ac:dyDescent="0.25"/>
  <cols>
    <col min="1" max="1" width="10.7109375" customWidth="1"/>
    <col min="2" max="2" width="24.85546875" customWidth="1"/>
    <col min="3" max="3" width="10.7109375" style="2" customWidth="1"/>
    <col min="4" max="4" width="9.140625" style="1" customWidth="1"/>
    <col min="5" max="5" width="5.42578125" style="1" customWidth="1"/>
    <col min="6" max="6" width="13.5703125" style="1" customWidth="1"/>
    <col min="7" max="7" width="13.7109375" style="1" customWidth="1"/>
    <col min="8" max="8" width="10.42578125" style="1" customWidth="1"/>
    <col min="9" max="9" width="12.140625" style="1" customWidth="1"/>
    <col min="10" max="10" width="10.42578125" style="1" customWidth="1"/>
    <col min="11" max="11" width="21.5703125" style="1" bestFit="1" customWidth="1"/>
    <col min="12" max="12" width="9.140625" style="1" customWidth="1"/>
    <col min="13" max="13" width="6.5703125" style="1" customWidth="1"/>
    <col min="14" max="14" width="9" style="1" customWidth="1"/>
    <col min="15" max="15" width="9.140625" style="1" customWidth="1"/>
    <col min="16" max="16" width="8.28515625" style="1" customWidth="1"/>
    <col min="17" max="17" width="10.28515625" style="1" customWidth="1"/>
    <col min="18" max="18" width="10.42578125" customWidth="1"/>
    <col min="19" max="19" width="17.28515625" style="47" bestFit="1" customWidth="1"/>
    <col min="20" max="20" width="13.28515625" style="192" bestFit="1" customWidth="1"/>
    <col min="21" max="21" width="13.42578125" style="47" customWidth="1"/>
    <col min="22" max="22" width="12" style="47" customWidth="1"/>
    <col min="23" max="23" width="20.7109375" style="47" customWidth="1"/>
    <col min="24" max="25" width="20.7109375" style="43" customWidth="1"/>
    <col min="26" max="26" width="16.5703125" style="43" customWidth="1"/>
    <col min="27" max="27" width="18.7109375" style="43" customWidth="1"/>
    <col min="28" max="28" width="11.42578125" style="43" bestFit="1" customWidth="1"/>
    <col min="29" max="29" width="11.42578125" style="43" customWidth="1"/>
    <col min="30" max="30" width="11.5703125" style="43" bestFit="1" customWidth="1"/>
    <col min="31" max="31" width="11.42578125" style="43" bestFit="1" customWidth="1"/>
    <col min="32" max="32" width="11.42578125" style="43" customWidth="1"/>
    <col min="33" max="33" width="11.5703125" style="43" bestFit="1" customWidth="1"/>
    <col min="34" max="34" width="14.7109375" style="43" customWidth="1"/>
    <col min="35" max="35" width="15.5703125" style="47" bestFit="1" customWidth="1"/>
    <col min="36" max="37" width="15.5703125" style="47" customWidth="1"/>
    <col min="38" max="38" width="14.140625" style="43" customWidth="1"/>
    <col min="39" max="40" width="9.140625" style="43" hidden="1" customWidth="1"/>
    <col min="41" max="43" width="10.140625" style="43" hidden="1" customWidth="1"/>
    <col min="44" max="44" width="13.7109375" style="2" bestFit="1" customWidth="1"/>
    <col min="45" max="45" width="14.5703125" style="43" bestFit="1" customWidth="1"/>
    <col min="46" max="46" width="13" style="43" customWidth="1"/>
    <col min="47" max="47" width="15.85546875" style="43" customWidth="1"/>
    <col min="48" max="50" width="10.140625" style="43" hidden="1" customWidth="1"/>
    <col min="51" max="51" width="9.28515625" style="43" hidden="1" customWidth="1"/>
    <col min="52" max="54" width="10.140625" style="43" hidden="1" customWidth="1"/>
    <col min="55" max="55" width="13.28515625" style="2" bestFit="1" customWidth="1"/>
    <col min="56" max="56" width="10.140625" style="43" customWidth="1"/>
    <col min="57" max="57" width="11.28515625" style="43" bestFit="1" customWidth="1"/>
    <col min="58" max="58" width="11.42578125" style="47" customWidth="1"/>
    <col min="59" max="59" width="11.42578125" style="43" customWidth="1"/>
    <col min="60" max="60" width="12.85546875" style="47" bestFit="1" customWidth="1"/>
    <col min="61" max="61" width="11.42578125" style="2" customWidth="1"/>
    <col min="62" max="62" width="11.7109375" style="43" bestFit="1" customWidth="1"/>
    <col min="63" max="65" width="17.85546875" style="43" customWidth="1"/>
    <col min="66" max="66" width="18.42578125" style="43" customWidth="1"/>
    <col min="67" max="67" width="18.42578125" style="2" customWidth="1"/>
    <col min="68" max="68" width="13.42578125" style="43" bestFit="1" customWidth="1"/>
    <col min="70" max="70" width="15.140625" bestFit="1" customWidth="1"/>
    <col min="72" max="72" width="15.140625" bestFit="1" customWidth="1"/>
  </cols>
  <sheetData>
    <row r="1" spans="1:68" x14ac:dyDescent="0.25">
      <c r="AB1" s="47" t="s">
        <v>163</v>
      </c>
      <c r="AC1" s="47" t="s">
        <v>164</v>
      </c>
      <c r="AD1" s="47" t="s">
        <v>165</v>
      </c>
      <c r="AE1" s="47" t="s">
        <v>163</v>
      </c>
      <c r="AF1" s="47" t="s">
        <v>164</v>
      </c>
      <c r="AG1" s="47" t="s">
        <v>165</v>
      </c>
      <c r="AJ1" s="47" t="s">
        <v>163</v>
      </c>
      <c r="AK1" s="47" t="s">
        <v>164</v>
      </c>
      <c r="AL1" s="47" t="s">
        <v>165</v>
      </c>
      <c r="AR1" s="2" t="s">
        <v>214</v>
      </c>
      <c r="AS1" s="43" t="s">
        <v>215</v>
      </c>
      <c r="AT1" s="2" t="s">
        <v>214</v>
      </c>
      <c r="AU1" s="43" t="s">
        <v>215</v>
      </c>
      <c r="BC1" s="2" t="s">
        <v>213</v>
      </c>
      <c r="BI1" s="2" t="s">
        <v>177</v>
      </c>
      <c r="BM1" s="2" t="s">
        <v>179</v>
      </c>
      <c r="BN1" s="2" t="s">
        <v>180</v>
      </c>
    </row>
    <row r="2" spans="1:68" x14ac:dyDescent="0.25">
      <c r="AB2" s="2">
        <v>2</v>
      </c>
      <c r="AC2" s="2">
        <v>6</v>
      </c>
      <c r="AD2" s="2">
        <v>1.3</v>
      </c>
      <c r="AE2" s="2">
        <v>2</v>
      </c>
      <c r="AF2" s="2">
        <v>6</v>
      </c>
      <c r="AG2" s="2">
        <v>1.5</v>
      </c>
      <c r="AJ2" s="2">
        <v>2</v>
      </c>
      <c r="AK2" s="2">
        <v>6</v>
      </c>
      <c r="AL2" s="2">
        <v>1.3</v>
      </c>
      <c r="AR2" s="2">
        <v>1.5</v>
      </c>
      <c r="AS2" s="2">
        <v>1.5</v>
      </c>
      <c r="AT2" s="2">
        <v>2</v>
      </c>
      <c r="AU2" s="2">
        <v>1.5</v>
      </c>
      <c r="BC2" s="2">
        <v>6</v>
      </c>
      <c r="BI2" s="79">
        <v>0.75</v>
      </c>
      <c r="BM2" s="2">
        <v>20</v>
      </c>
      <c r="BN2" s="2">
        <v>25</v>
      </c>
    </row>
    <row r="3" spans="1:68" x14ac:dyDescent="0.25">
      <c r="A3" s="14"/>
      <c r="B3" s="14"/>
      <c r="C3" s="153" t="s">
        <v>58</v>
      </c>
      <c r="D3" s="153"/>
      <c r="E3" s="153"/>
      <c r="F3" s="153"/>
      <c r="G3" s="153"/>
      <c r="H3" s="153"/>
      <c r="I3" s="153"/>
      <c r="J3" s="153"/>
      <c r="K3" s="153"/>
      <c r="L3" s="152" t="s">
        <v>57</v>
      </c>
      <c r="M3" s="152"/>
      <c r="N3" s="152"/>
      <c r="O3" s="152"/>
      <c r="P3" s="15"/>
      <c r="Q3" s="152"/>
      <c r="R3" s="152"/>
      <c r="S3" s="151" t="s">
        <v>88</v>
      </c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</row>
    <row r="4" spans="1:68" s="9" customFormat="1" x14ac:dyDescent="0.25">
      <c r="C4" s="49"/>
      <c r="D4" s="49"/>
      <c r="E4" s="49"/>
      <c r="F4" s="49"/>
      <c r="G4" s="49"/>
      <c r="H4" s="49"/>
      <c r="I4" s="49"/>
      <c r="J4" s="49"/>
      <c r="K4" s="49"/>
      <c r="L4" s="50"/>
      <c r="M4" s="50"/>
      <c r="N4" s="50"/>
      <c r="O4" s="50"/>
      <c r="P4" s="51"/>
      <c r="Q4" s="50"/>
      <c r="R4" s="50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M4" s="52"/>
      <c r="AN4" s="52"/>
      <c r="AO4" s="52"/>
      <c r="AP4" s="52"/>
      <c r="AQ4" s="52"/>
      <c r="AR4" s="143" t="s">
        <v>131</v>
      </c>
      <c r="AS4" s="143"/>
      <c r="AT4" s="143" t="s">
        <v>132</v>
      </c>
      <c r="AU4" s="143"/>
      <c r="AV4" s="52"/>
      <c r="AW4" s="52"/>
      <c r="AX4" s="52"/>
      <c r="AY4" s="52"/>
      <c r="AZ4" s="52"/>
      <c r="BA4" s="52"/>
      <c r="BB4" s="52"/>
      <c r="BC4" s="49"/>
      <c r="BD4" s="143" t="s">
        <v>170</v>
      </c>
      <c r="BE4" s="143"/>
      <c r="BF4" s="143" t="s">
        <v>172</v>
      </c>
      <c r="BG4" s="143"/>
      <c r="BH4" s="143" t="s">
        <v>174</v>
      </c>
      <c r="BI4" s="143"/>
      <c r="BJ4" s="143"/>
      <c r="BK4" s="52"/>
      <c r="BL4" s="52"/>
      <c r="BM4" s="143" t="s">
        <v>178</v>
      </c>
      <c r="BN4" s="143"/>
      <c r="BO4" s="143" t="s">
        <v>175</v>
      </c>
      <c r="BP4" s="143"/>
    </row>
    <row r="5" spans="1:68" ht="75.75" thickBot="1" x14ac:dyDescent="0.3">
      <c r="A5" s="159" t="s">
        <v>159</v>
      </c>
      <c r="B5" s="160" t="s">
        <v>155</v>
      </c>
      <c r="C5" s="161" t="s">
        <v>15</v>
      </c>
      <c r="D5" s="160" t="s">
        <v>16</v>
      </c>
      <c r="E5" s="159" t="s">
        <v>119</v>
      </c>
      <c r="F5" s="160" t="s">
        <v>18</v>
      </c>
      <c r="G5" s="160" t="s">
        <v>17</v>
      </c>
      <c r="H5" s="159" t="s">
        <v>20</v>
      </c>
      <c r="I5" s="159" t="s">
        <v>21</v>
      </c>
      <c r="J5" s="159" t="s">
        <v>19</v>
      </c>
      <c r="K5" s="160" t="s">
        <v>1</v>
      </c>
      <c r="L5" s="160" t="s">
        <v>15</v>
      </c>
      <c r="M5" s="160" t="s">
        <v>16</v>
      </c>
      <c r="N5" s="160" t="s">
        <v>18</v>
      </c>
      <c r="O5" s="160" t="s">
        <v>17</v>
      </c>
      <c r="P5" s="159" t="s">
        <v>22</v>
      </c>
      <c r="Q5" s="160" t="s">
        <v>59</v>
      </c>
      <c r="R5" s="159" t="s">
        <v>93</v>
      </c>
      <c r="S5" s="162" t="s">
        <v>89</v>
      </c>
      <c r="T5" s="162" t="s">
        <v>90</v>
      </c>
      <c r="U5" s="162" t="s">
        <v>91</v>
      </c>
      <c r="V5" s="162" t="s">
        <v>92</v>
      </c>
      <c r="W5" s="44" t="s">
        <v>94</v>
      </c>
      <c r="X5" s="44" t="s">
        <v>95</v>
      </c>
      <c r="Y5" s="44" t="s">
        <v>96</v>
      </c>
      <c r="Z5" s="44" t="s">
        <v>97</v>
      </c>
      <c r="AA5" s="44" t="s">
        <v>98</v>
      </c>
      <c r="AB5" s="144" t="s">
        <v>107</v>
      </c>
      <c r="AC5" s="144"/>
      <c r="AD5" s="144"/>
      <c r="AE5" s="144" t="s">
        <v>108</v>
      </c>
      <c r="AF5" s="144"/>
      <c r="AG5" s="144"/>
      <c r="AH5" s="44" t="s">
        <v>112</v>
      </c>
      <c r="AI5" s="44" t="s">
        <v>123</v>
      </c>
      <c r="AJ5" s="140" t="s">
        <v>219</v>
      </c>
      <c r="AK5" s="140"/>
      <c r="AL5" s="140"/>
      <c r="AM5" s="44" t="s">
        <v>126</v>
      </c>
      <c r="AN5" s="44" t="s">
        <v>127</v>
      </c>
      <c r="AO5" s="44" t="s">
        <v>128</v>
      </c>
      <c r="AP5" s="44" t="s">
        <v>129</v>
      </c>
      <c r="AQ5" s="44" t="s">
        <v>130</v>
      </c>
      <c r="AR5" s="53" t="s">
        <v>169</v>
      </c>
      <c r="AS5" s="44" t="s">
        <v>168</v>
      </c>
      <c r="AT5" s="53" t="s">
        <v>169</v>
      </c>
      <c r="AU5" s="44" t="s">
        <v>168</v>
      </c>
      <c r="AV5" s="44" t="s">
        <v>133</v>
      </c>
      <c r="AW5" s="44" t="s">
        <v>134</v>
      </c>
      <c r="AX5" s="44" t="s">
        <v>135</v>
      </c>
      <c r="AY5" s="44" t="s">
        <v>136</v>
      </c>
      <c r="AZ5" s="44" t="s">
        <v>137</v>
      </c>
      <c r="BA5" s="44" t="s">
        <v>138</v>
      </c>
      <c r="BB5" s="44" t="s">
        <v>139</v>
      </c>
      <c r="BC5" s="53" t="s">
        <v>212</v>
      </c>
      <c r="BD5" s="44" t="s">
        <v>171</v>
      </c>
      <c r="BE5" s="44" t="s">
        <v>168</v>
      </c>
      <c r="BF5" s="44" t="s">
        <v>171</v>
      </c>
      <c r="BG5" s="44" t="s">
        <v>168</v>
      </c>
      <c r="BH5" s="44" t="s">
        <v>171</v>
      </c>
      <c r="BI5" s="53" t="s">
        <v>173</v>
      </c>
      <c r="BJ5" s="44" t="s">
        <v>168</v>
      </c>
      <c r="BK5" s="44" t="s">
        <v>211</v>
      </c>
      <c r="BL5" s="44" t="s">
        <v>147</v>
      </c>
      <c r="BM5" s="44" t="s">
        <v>176</v>
      </c>
      <c r="BN5" s="44" t="s">
        <v>168</v>
      </c>
      <c r="BO5" s="53" t="s">
        <v>176</v>
      </c>
      <c r="BP5" s="44" t="s">
        <v>168</v>
      </c>
    </row>
    <row r="6" spans="1:68" ht="15" customHeight="1" thickTop="1" x14ac:dyDescent="0.25">
      <c r="A6" s="149" t="s">
        <v>158</v>
      </c>
      <c r="B6" s="56" t="s">
        <v>23</v>
      </c>
      <c r="C6" s="57">
        <v>962</v>
      </c>
      <c r="D6" s="58">
        <v>22.5</v>
      </c>
      <c r="E6" s="58">
        <v>3</v>
      </c>
      <c r="F6" s="59">
        <f>C6*D6</f>
        <v>21645</v>
      </c>
      <c r="G6" s="59">
        <f>F6/9</f>
        <v>2405</v>
      </c>
      <c r="H6" s="57">
        <f xml:space="preserve"> (G6* (E6 / 36))</f>
        <v>200.41666666666666</v>
      </c>
      <c r="I6" s="58">
        <v>110</v>
      </c>
      <c r="J6" s="58">
        <f xml:space="preserve"> ROUNDUP(((I6 * E6 * G6)/2000), -1)</f>
        <v>400</v>
      </c>
      <c r="K6" s="58" t="s">
        <v>60</v>
      </c>
      <c r="L6" s="58">
        <v>14</v>
      </c>
      <c r="M6" s="58">
        <v>10</v>
      </c>
      <c r="N6" s="58">
        <f>L6 * M6</f>
        <v>140</v>
      </c>
      <c r="O6" s="59">
        <f>N6 / 9</f>
        <v>15.555555555555555</v>
      </c>
      <c r="P6" s="58"/>
      <c r="Q6" s="58"/>
      <c r="R6" s="56"/>
      <c r="S6" s="61">
        <f t="shared" ref="S6:S46" si="0">J6*S$49</f>
        <v>64132.000000000007</v>
      </c>
      <c r="T6" s="193">
        <f t="shared" ref="T6:T46" si="1">IF(K6 = "Total Reconstruction", 0, G6*T$49)</f>
        <v>9620</v>
      </c>
      <c r="U6" s="61">
        <f t="shared" ref="U6:U46" si="2">IF(O6 = 0, 0, O6*U$49)</f>
        <v>2748.2</v>
      </c>
      <c r="V6" s="61">
        <f t="shared" ref="V6:V46" si="3">IF(P6 = 0, 0, P6*V$49)</f>
        <v>0</v>
      </c>
      <c r="W6" s="61">
        <f t="shared" ref="W6:W46" si="4">IF(K6 = "Total Reconstruction", G6 * W$49, 0)</f>
        <v>0</v>
      </c>
      <c r="X6" s="60">
        <f t="shared" ref="X6:X46" si="5">IF(K6 = "Total Reconstruction", G6 * X$49, 0)</f>
        <v>0</v>
      </c>
      <c r="Y6" s="60">
        <f t="shared" ref="Y6:Y46" si="6">IF(K6 = "Total Reconstruction", G6 * Y$49, 0)</f>
        <v>0</v>
      </c>
      <c r="Z6" s="60">
        <f t="shared" ref="Z6:Z46" si="7">IF(K6 = "Total Reconstruction", G6 * Z$49, 0)</f>
        <v>0</v>
      </c>
      <c r="AA6" s="60">
        <f>IF(K6 = "Total Reconstruction", C6 * AA$49, 0) / 5280</f>
        <v>0</v>
      </c>
      <c r="AB6" s="134"/>
      <c r="AC6" s="134"/>
      <c r="AD6" s="134"/>
      <c r="AE6" s="134"/>
      <c r="AF6" s="134"/>
      <c r="AG6" s="134"/>
      <c r="AH6" s="60"/>
      <c r="AI6" s="61"/>
      <c r="AJ6" s="134" t="s">
        <v>166</v>
      </c>
      <c r="AK6" s="134"/>
      <c r="AL6" s="134"/>
      <c r="AM6" s="60"/>
      <c r="AN6" s="60"/>
      <c r="AO6" s="60"/>
      <c r="AP6" s="60"/>
      <c r="AQ6" s="60"/>
      <c r="AR6" s="57"/>
      <c r="AS6" s="60">
        <f t="shared" ref="AS6:AS46" si="8">IF(AR6&gt;0, AR6 * AR$49, 0)</f>
        <v>0</v>
      </c>
      <c r="AT6" s="60"/>
      <c r="AU6" s="60">
        <f t="shared" ref="AU6:AU46" si="9">IF(AT6&gt;0, AT6 * AT$49, 0)</f>
        <v>0</v>
      </c>
      <c r="AV6" s="60"/>
      <c r="AW6" s="60"/>
      <c r="AX6" s="60"/>
      <c r="AY6" s="60"/>
      <c r="AZ6" s="60"/>
      <c r="BA6" s="60"/>
      <c r="BB6" s="60"/>
      <c r="BC6" s="57">
        <f>IF(AR6 &gt; 0, (((2 * AS$2) + AR$2) * AR6 * (BC$2 / 12))/27, 0) + IF(AT6 &gt; 0, (((2 * AU$2) + AT$2) * AT6 * (BC$2 / 12))/27, 0)</f>
        <v>0</v>
      </c>
      <c r="BD6" s="60"/>
      <c r="BE6" s="60">
        <f t="shared" ref="BE6:BE46" si="10">IF(BD6 = "X", ((2 * (C6/5280)) * BD$49), 0)</f>
        <v>0</v>
      </c>
      <c r="BF6" s="61"/>
      <c r="BG6" s="60">
        <f t="shared" ref="BG6:BG46" si="11">IF(BF6 = "X", ((C6/5280) * BF$49), 0)</f>
        <v>0</v>
      </c>
      <c r="BH6" s="61" t="s">
        <v>166</v>
      </c>
      <c r="BI6" s="57">
        <v>1</v>
      </c>
      <c r="BJ6" s="43">
        <f t="shared" ref="BJ6:BJ46" si="12">IF(BH6 = "X", BI6 * (D6 * BI$2 * BH$49), 0)</f>
        <v>466.93125000000003</v>
      </c>
      <c r="BK6" s="60"/>
      <c r="BL6" s="60"/>
      <c r="BM6" s="84"/>
      <c r="BN6" s="60">
        <f t="shared" ref="BN6:BN46" si="13">IF(BM6 &gt; 0, ((BM6 * (BM$2 * BN$2)/ 9) * BM$49), 0)</f>
        <v>0</v>
      </c>
      <c r="BO6" s="57"/>
      <c r="BP6" s="62">
        <f t="shared" ref="BP6:BP46" si="14">IF(BO6 &gt; 0, BO6 * BO$49, 0)</f>
        <v>0</v>
      </c>
    </row>
    <row r="7" spans="1:68" x14ac:dyDescent="0.25">
      <c r="A7" s="150"/>
      <c r="B7" t="s">
        <v>40</v>
      </c>
      <c r="C7" s="2">
        <v>353</v>
      </c>
      <c r="D7" s="1">
        <v>23</v>
      </c>
      <c r="E7" s="1">
        <v>3</v>
      </c>
      <c r="F7" s="3">
        <f t="shared" ref="F7:F9" si="15">C7*D7</f>
        <v>8119</v>
      </c>
      <c r="G7" s="3">
        <f t="shared" ref="G7:G9" si="16">F7/9</f>
        <v>902.11111111111109</v>
      </c>
      <c r="H7" s="2">
        <f t="shared" ref="H7:H9" si="17" xml:space="preserve"> (G7* (E7 / 36))</f>
        <v>75.175925925925924</v>
      </c>
      <c r="I7" s="1">
        <v>110</v>
      </c>
      <c r="J7" s="1">
        <f t="shared" ref="J7:J9" si="18" xml:space="preserve"> ROUNDUP(((I7 * E7 * G7)/2000), -1)</f>
        <v>150</v>
      </c>
      <c r="K7" s="1" t="s">
        <v>60</v>
      </c>
      <c r="O7" s="3"/>
      <c r="S7" s="47">
        <f t="shared" si="0"/>
        <v>24049.500000000004</v>
      </c>
      <c r="T7" s="192">
        <f t="shared" si="1"/>
        <v>3608.4444444444443</v>
      </c>
      <c r="U7" s="47">
        <f t="shared" si="2"/>
        <v>0</v>
      </c>
      <c r="V7" s="47">
        <f t="shared" si="3"/>
        <v>0</v>
      </c>
      <c r="W7" s="47">
        <f t="shared" si="4"/>
        <v>0</v>
      </c>
      <c r="X7" s="43">
        <f t="shared" si="5"/>
        <v>0</v>
      </c>
      <c r="Y7" s="43">
        <f t="shared" si="6"/>
        <v>0</v>
      </c>
      <c r="Z7" s="43">
        <f t="shared" si="7"/>
        <v>0</v>
      </c>
      <c r="AA7" s="43">
        <f t="shared" ref="AA7:AA46" si="19">IF(K7 = "Total Reconstruction", C7 * AA$49, 0) / 5280</f>
        <v>0</v>
      </c>
      <c r="AB7" s="133"/>
      <c r="AC7" s="133"/>
      <c r="AD7" s="133"/>
      <c r="AE7" s="133"/>
      <c r="AF7" s="133"/>
      <c r="AG7" s="133"/>
      <c r="AJ7" s="133"/>
      <c r="AK7" s="133"/>
      <c r="AL7" s="133"/>
      <c r="AS7" s="43">
        <f t="shared" si="8"/>
        <v>0</v>
      </c>
      <c r="AU7" s="43">
        <f t="shared" si="9"/>
        <v>0</v>
      </c>
      <c r="BC7" s="2">
        <f t="shared" ref="BC7:BC46" si="20">IF(AR7 &gt; 0, (((2 * AS$2) + AR$2) * AR7 * (BC$2 / 12))/27, 0) + IF(AT7 &gt; 0, (((2 * AU$2) + AT$2) * AT7 * (BC$2 / 12))/27, 0)</f>
        <v>0</v>
      </c>
      <c r="BE7" s="43">
        <f t="shared" si="10"/>
        <v>0</v>
      </c>
      <c r="BG7" s="43">
        <f t="shared" si="11"/>
        <v>0</v>
      </c>
      <c r="BH7" s="47" t="s">
        <v>166</v>
      </c>
      <c r="BI7" s="2">
        <v>1</v>
      </c>
      <c r="BJ7" s="43">
        <f t="shared" si="12"/>
        <v>477.3075</v>
      </c>
      <c r="BM7" s="83"/>
      <c r="BN7" s="43">
        <f t="shared" si="13"/>
        <v>0</v>
      </c>
      <c r="BP7" s="64">
        <f t="shared" si="14"/>
        <v>0</v>
      </c>
    </row>
    <row r="8" spans="1:68" x14ac:dyDescent="0.25">
      <c r="A8" s="150"/>
      <c r="B8" t="s">
        <v>41</v>
      </c>
      <c r="C8" s="2">
        <v>422</v>
      </c>
      <c r="D8" s="1">
        <v>23</v>
      </c>
      <c r="E8" s="1">
        <v>3</v>
      </c>
      <c r="F8" s="3">
        <f t="shared" si="15"/>
        <v>9706</v>
      </c>
      <c r="G8" s="3">
        <f t="shared" si="16"/>
        <v>1078.4444444444443</v>
      </c>
      <c r="H8" s="2">
        <f t="shared" si="17"/>
        <v>89.870370370370352</v>
      </c>
      <c r="I8" s="1">
        <v>110</v>
      </c>
      <c r="J8" s="1">
        <f t="shared" si="18"/>
        <v>180</v>
      </c>
      <c r="K8" s="1" t="s">
        <v>60</v>
      </c>
      <c r="O8" s="3"/>
      <c r="S8" s="47">
        <f t="shared" si="0"/>
        <v>28859.4</v>
      </c>
      <c r="T8" s="192">
        <f t="shared" si="1"/>
        <v>4313.7777777777774</v>
      </c>
      <c r="U8" s="47">
        <f t="shared" si="2"/>
        <v>0</v>
      </c>
      <c r="V8" s="47">
        <f t="shared" si="3"/>
        <v>0</v>
      </c>
      <c r="W8" s="47">
        <f t="shared" si="4"/>
        <v>0</v>
      </c>
      <c r="X8" s="43">
        <f t="shared" si="5"/>
        <v>0</v>
      </c>
      <c r="Y8" s="43">
        <f t="shared" si="6"/>
        <v>0</v>
      </c>
      <c r="Z8" s="43">
        <f t="shared" si="7"/>
        <v>0</v>
      </c>
      <c r="AA8" s="43">
        <f t="shared" si="19"/>
        <v>0</v>
      </c>
      <c r="AB8" s="133"/>
      <c r="AC8" s="133"/>
      <c r="AD8" s="133"/>
      <c r="AE8" s="133"/>
      <c r="AF8" s="133"/>
      <c r="AG8" s="133"/>
      <c r="AJ8" s="133"/>
      <c r="AK8" s="133"/>
      <c r="AL8" s="133"/>
      <c r="AS8" s="43">
        <f t="shared" si="8"/>
        <v>0</v>
      </c>
      <c r="AU8" s="43">
        <f t="shared" si="9"/>
        <v>0</v>
      </c>
      <c r="BC8" s="2">
        <f t="shared" si="20"/>
        <v>0</v>
      </c>
      <c r="BE8" s="43">
        <f t="shared" si="10"/>
        <v>0</v>
      </c>
      <c r="BG8" s="43">
        <f t="shared" si="11"/>
        <v>0</v>
      </c>
      <c r="BH8" s="47" t="s">
        <v>166</v>
      </c>
      <c r="BI8" s="2">
        <v>1</v>
      </c>
      <c r="BJ8" s="43">
        <f t="shared" si="12"/>
        <v>477.3075</v>
      </c>
      <c r="BM8" s="83"/>
      <c r="BN8" s="43">
        <f t="shared" si="13"/>
        <v>0</v>
      </c>
      <c r="BP8" s="64">
        <f t="shared" si="14"/>
        <v>0</v>
      </c>
    </row>
    <row r="9" spans="1:68" x14ac:dyDescent="0.25">
      <c r="A9" s="150"/>
      <c r="B9" t="s">
        <v>42</v>
      </c>
      <c r="C9" s="2">
        <v>276</v>
      </c>
      <c r="D9" s="1">
        <v>23</v>
      </c>
      <c r="E9" s="1">
        <v>3</v>
      </c>
      <c r="F9" s="3">
        <f t="shared" si="15"/>
        <v>6348</v>
      </c>
      <c r="G9" s="3">
        <f t="shared" si="16"/>
        <v>705.33333333333337</v>
      </c>
      <c r="H9" s="2">
        <f t="shared" si="17"/>
        <v>58.777777777777779</v>
      </c>
      <c r="I9" s="1">
        <v>110</v>
      </c>
      <c r="J9" s="1">
        <f t="shared" si="18"/>
        <v>120</v>
      </c>
      <c r="K9" s="1" t="s">
        <v>60</v>
      </c>
      <c r="O9" s="3"/>
      <c r="S9" s="47">
        <f t="shared" si="0"/>
        <v>19239.600000000002</v>
      </c>
      <c r="T9" s="192">
        <f t="shared" si="1"/>
        <v>2821.3333333333335</v>
      </c>
      <c r="U9" s="47">
        <f t="shared" si="2"/>
        <v>0</v>
      </c>
      <c r="V9" s="47">
        <f t="shared" si="3"/>
        <v>0</v>
      </c>
      <c r="W9" s="47">
        <f t="shared" si="4"/>
        <v>0</v>
      </c>
      <c r="X9" s="43">
        <f t="shared" si="5"/>
        <v>0</v>
      </c>
      <c r="Y9" s="43">
        <f t="shared" si="6"/>
        <v>0</v>
      </c>
      <c r="Z9" s="43">
        <f t="shared" si="7"/>
        <v>0</v>
      </c>
      <c r="AA9" s="43">
        <f t="shared" si="19"/>
        <v>0</v>
      </c>
      <c r="AB9" s="133"/>
      <c r="AC9" s="133"/>
      <c r="AD9" s="133"/>
      <c r="AE9" s="133"/>
      <c r="AF9" s="133"/>
      <c r="AG9" s="133"/>
      <c r="AJ9" s="133"/>
      <c r="AK9" s="133"/>
      <c r="AL9" s="133"/>
      <c r="AS9" s="43">
        <f t="shared" si="8"/>
        <v>0</v>
      </c>
      <c r="AU9" s="43">
        <f t="shared" si="9"/>
        <v>0</v>
      </c>
      <c r="BC9" s="2">
        <f t="shared" si="20"/>
        <v>0</v>
      </c>
      <c r="BE9" s="43">
        <f t="shared" si="10"/>
        <v>0</v>
      </c>
      <c r="BG9" s="43">
        <f t="shared" si="11"/>
        <v>0</v>
      </c>
      <c r="BH9" s="47" t="s">
        <v>166</v>
      </c>
      <c r="BI9" s="2">
        <v>1</v>
      </c>
      <c r="BJ9" s="43">
        <f t="shared" si="12"/>
        <v>477.3075</v>
      </c>
      <c r="BM9" s="83"/>
      <c r="BN9" s="43">
        <f t="shared" si="13"/>
        <v>0</v>
      </c>
      <c r="BP9" s="64">
        <f t="shared" si="14"/>
        <v>0</v>
      </c>
    </row>
    <row r="10" spans="1:68" ht="15" customHeight="1" x14ac:dyDescent="0.25">
      <c r="A10" s="150"/>
      <c r="B10" t="s">
        <v>4</v>
      </c>
      <c r="C10" s="2">
        <v>1300</v>
      </c>
      <c r="D10" s="1">
        <v>12</v>
      </c>
      <c r="E10" s="1">
        <v>3</v>
      </c>
      <c r="F10" s="3">
        <f t="shared" ref="F10:F12" si="21">C10*D10</f>
        <v>15600</v>
      </c>
      <c r="G10" s="3">
        <f t="shared" ref="G10:G12" si="22">F10/9</f>
        <v>1733.3333333333333</v>
      </c>
      <c r="H10" s="2">
        <f t="shared" ref="H10:H12" si="23" xml:space="preserve"> (G10* (E10 / 36))</f>
        <v>144.44444444444443</v>
      </c>
      <c r="I10" s="1">
        <v>110</v>
      </c>
      <c r="J10" s="1">
        <f t="shared" ref="J10:J22" si="24" xml:space="preserve"> ROUNDUP(((I10 * E10 * G10)/2000), -1)</f>
        <v>290</v>
      </c>
      <c r="K10" s="1" t="s">
        <v>61</v>
      </c>
      <c r="O10" s="3"/>
      <c r="S10" s="47">
        <f t="shared" si="0"/>
        <v>46495.700000000004</v>
      </c>
      <c r="T10" s="192">
        <f t="shared" si="1"/>
        <v>0</v>
      </c>
      <c r="U10" s="47">
        <f t="shared" si="2"/>
        <v>0</v>
      </c>
      <c r="V10" s="47">
        <f t="shared" si="3"/>
        <v>0</v>
      </c>
      <c r="W10" s="47">
        <f t="shared" si="4"/>
        <v>17558.666666666668</v>
      </c>
      <c r="X10" s="43">
        <f t="shared" si="5"/>
        <v>24700</v>
      </c>
      <c r="Y10" s="43">
        <f t="shared" si="6"/>
        <v>29518.666666666668</v>
      </c>
      <c r="Z10" s="43">
        <f t="shared" si="7"/>
        <v>11838.666666666666</v>
      </c>
      <c r="AA10" s="43">
        <f t="shared" si="19"/>
        <v>1337.4242424242425</v>
      </c>
      <c r="AB10" s="133"/>
      <c r="AC10" s="133"/>
      <c r="AD10" s="133"/>
      <c r="AE10" s="133"/>
      <c r="AF10" s="133"/>
      <c r="AG10" s="133"/>
      <c r="AI10" s="47" t="s">
        <v>166</v>
      </c>
      <c r="AJ10" s="133" t="s">
        <v>166</v>
      </c>
      <c r="AK10" s="133"/>
      <c r="AL10" s="133"/>
      <c r="AR10" s="2">
        <v>40</v>
      </c>
      <c r="AS10" s="43">
        <f t="shared" si="8"/>
        <v>8653.2000000000007</v>
      </c>
      <c r="AT10" s="43">
        <v>24</v>
      </c>
      <c r="AU10" s="43">
        <f t="shared" si="9"/>
        <v>5983.92</v>
      </c>
      <c r="BC10" s="2">
        <f t="shared" si="20"/>
        <v>5.5555555555555554</v>
      </c>
      <c r="BE10" s="43">
        <f t="shared" si="10"/>
        <v>0</v>
      </c>
      <c r="BG10" s="43">
        <f t="shared" si="11"/>
        <v>0</v>
      </c>
      <c r="BH10" s="47" t="s">
        <v>166</v>
      </c>
      <c r="BI10" s="2">
        <v>1</v>
      </c>
      <c r="BJ10" s="43">
        <f t="shared" si="12"/>
        <v>249.03000000000003</v>
      </c>
      <c r="BM10" s="83"/>
      <c r="BN10" s="43">
        <f t="shared" si="13"/>
        <v>0</v>
      </c>
      <c r="BO10" s="2">
        <v>1</v>
      </c>
      <c r="BP10" s="64">
        <f t="shared" si="14"/>
        <v>5162</v>
      </c>
    </row>
    <row r="11" spans="1:68" x14ac:dyDescent="0.25">
      <c r="A11" s="150"/>
      <c r="B11" t="s">
        <v>7</v>
      </c>
      <c r="C11" s="2">
        <v>1344</v>
      </c>
      <c r="D11" s="1">
        <v>15</v>
      </c>
      <c r="E11" s="1">
        <v>3</v>
      </c>
      <c r="F11" s="3">
        <f t="shared" si="21"/>
        <v>20160</v>
      </c>
      <c r="G11" s="3">
        <f t="shared" si="22"/>
        <v>2240</v>
      </c>
      <c r="H11" s="2">
        <f t="shared" si="23"/>
        <v>186.66666666666666</v>
      </c>
      <c r="I11" s="1">
        <v>110</v>
      </c>
      <c r="J11" s="1">
        <f t="shared" si="24"/>
        <v>370</v>
      </c>
      <c r="K11" s="1" t="s">
        <v>61</v>
      </c>
      <c r="O11" s="3"/>
      <c r="S11" s="47">
        <f t="shared" si="0"/>
        <v>59322.100000000006</v>
      </c>
      <c r="T11" s="192">
        <f t="shared" si="1"/>
        <v>0</v>
      </c>
      <c r="U11" s="47">
        <f t="shared" si="2"/>
        <v>0</v>
      </c>
      <c r="V11" s="47">
        <f t="shared" si="3"/>
        <v>0</v>
      </c>
      <c r="W11" s="47">
        <f t="shared" si="4"/>
        <v>22691.200000000001</v>
      </c>
      <c r="X11" s="43">
        <f t="shared" si="5"/>
        <v>31920</v>
      </c>
      <c r="Y11" s="43">
        <f t="shared" si="6"/>
        <v>38147.200000000004</v>
      </c>
      <c r="Z11" s="43">
        <f t="shared" si="7"/>
        <v>15299.2</v>
      </c>
      <c r="AA11" s="43">
        <f t="shared" si="19"/>
        <v>1382.6909090909091</v>
      </c>
      <c r="AB11" s="133"/>
      <c r="AC11" s="133"/>
      <c r="AD11" s="133"/>
      <c r="AE11" s="133"/>
      <c r="AF11" s="133"/>
      <c r="AG11" s="133"/>
      <c r="AI11" s="47" t="s">
        <v>166</v>
      </c>
      <c r="AJ11" s="133" t="s">
        <v>166</v>
      </c>
      <c r="AK11" s="133"/>
      <c r="AL11" s="133"/>
      <c r="AS11" s="43">
        <f t="shared" si="8"/>
        <v>0</v>
      </c>
      <c r="AT11" s="43">
        <v>32</v>
      </c>
      <c r="AU11" s="43">
        <f t="shared" si="9"/>
        <v>7978.56</v>
      </c>
      <c r="BC11" s="2">
        <f t="shared" si="20"/>
        <v>2.9629629629629628</v>
      </c>
      <c r="BE11" s="43">
        <f t="shared" si="10"/>
        <v>0</v>
      </c>
      <c r="BG11" s="43">
        <f t="shared" si="11"/>
        <v>0</v>
      </c>
      <c r="BH11" s="47" t="s">
        <v>166</v>
      </c>
      <c r="BI11" s="2">
        <v>1</v>
      </c>
      <c r="BJ11" s="43">
        <f t="shared" si="12"/>
        <v>311.28750000000002</v>
      </c>
      <c r="BM11" s="83"/>
      <c r="BN11" s="43">
        <f t="shared" si="13"/>
        <v>0</v>
      </c>
      <c r="BP11" s="64">
        <f t="shared" si="14"/>
        <v>0</v>
      </c>
    </row>
    <row r="12" spans="1:68" x14ac:dyDescent="0.25">
      <c r="A12" s="150"/>
      <c r="B12" t="s">
        <v>8</v>
      </c>
      <c r="C12" s="2">
        <v>439</v>
      </c>
      <c r="D12" s="1">
        <v>15</v>
      </c>
      <c r="E12" s="1">
        <v>3</v>
      </c>
      <c r="F12" s="3">
        <f t="shared" si="21"/>
        <v>6585</v>
      </c>
      <c r="G12" s="3">
        <f t="shared" si="22"/>
        <v>731.66666666666663</v>
      </c>
      <c r="H12" s="2">
        <f t="shared" si="23"/>
        <v>60.972222222222214</v>
      </c>
      <c r="I12" s="1">
        <v>110</v>
      </c>
      <c r="J12" s="1">
        <f t="shared" si="24"/>
        <v>130</v>
      </c>
      <c r="K12" s="1" t="s">
        <v>61</v>
      </c>
      <c r="O12" s="3"/>
      <c r="S12" s="47">
        <f t="shared" si="0"/>
        <v>20842.900000000001</v>
      </c>
      <c r="T12" s="192">
        <f t="shared" si="1"/>
        <v>0</v>
      </c>
      <c r="U12" s="47">
        <f t="shared" si="2"/>
        <v>0</v>
      </c>
      <c r="V12" s="47">
        <f t="shared" si="3"/>
        <v>0</v>
      </c>
      <c r="W12" s="47">
        <f t="shared" si="4"/>
        <v>7411.7833333333338</v>
      </c>
      <c r="X12" s="43">
        <f t="shared" si="5"/>
        <v>10426.25</v>
      </c>
      <c r="Y12" s="43">
        <f t="shared" si="6"/>
        <v>12460.283333333333</v>
      </c>
      <c r="Z12" s="43">
        <f t="shared" si="7"/>
        <v>4997.2833333333328</v>
      </c>
      <c r="AA12" s="43">
        <f t="shared" si="19"/>
        <v>451.63787878787878</v>
      </c>
      <c r="AB12" s="133"/>
      <c r="AC12" s="133"/>
      <c r="AD12" s="133"/>
      <c r="AE12" s="133"/>
      <c r="AF12" s="133"/>
      <c r="AG12" s="133"/>
      <c r="AI12" s="47" t="s">
        <v>166</v>
      </c>
      <c r="AJ12" s="133"/>
      <c r="AK12" s="133"/>
      <c r="AL12" s="133"/>
      <c r="AS12" s="43">
        <f t="shared" si="8"/>
        <v>0</v>
      </c>
      <c r="AU12" s="43">
        <f t="shared" si="9"/>
        <v>0</v>
      </c>
      <c r="BC12" s="2">
        <f t="shared" si="20"/>
        <v>0</v>
      </c>
      <c r="BE12" s="43">
        <f t="shared" si="10"/>
        <v>0</v>
      </c>
      <c r="BG12" s="43">
        <f t="shared" si="11"/>
        <v>0</v>
      </c>
      <c r="BH12" s="47" t="s">
        <v>166</v>
      </c>
      <c r="BI12" s="2">
        <v>2</v>
      </c>
      <c r="BJ12" s="43">
        <f t="shared" si="12"/>
        <v>622.57500000000005</v>
      </c>
      <c r="BM12" s="83"/>
      <c r="BN12" s="43">
        <f t="shared" si="13"/>
        <v>0</v>
      </c>
      <c r="BP12" s="64">
        <f t="shared" si="14"/>
        <v>0</v>
      </c>
    </row>
    <row r="13" spans="1:68" x14ac:dyDescent="0.25">
      <c r="A13" s="150"/>
      <c r="B13" t="s">
        <v>39</v>
      </c>
      <c r="C13" s="2">
        <v>2206</v>
      </c>
      <c r="D13" s="1">
        <v>18</v>
      </c>
      <c r="E13" s="1">
        <v>3</v>
      </c>
      <c r="F13" s="3">
        <f t="shared" ref="F13:F22" si="25">C13*D13</f>
        <v>39708</v>
      </c>
      <c r="G13" s="3">
        <f t="shared" ref="G13:G22" si="26">F13/9</f>
        <v>4412</v>
      </c>
      <c r="H13" s="2">
        <f t="shared" ref="H13:H22" si="27" xml:space="preserve"> (G13* (E13 / 36))</f>
        <v>367.66666666666663</v>
      </c>
      <c r="I13" s="1">
        <v>110</v>
      </c>
      <c r="J13" s="1">
        <f t="shared" si="24"/>
        <v>730</v>
      </c>
      <c r="K13" s="1" t="s">
        <v>61</v>
      </c>
      <c r="O13" s="3"/>
      <c r="S13" s="47">
        <f t="shared" si="0"/>
        <v>117040.90000000001</v>
      </c>
      <c r="T13" s="192">
        <f t="shared" si="1"/>
        <v>0</v>
      </c>
      <c r="U13" s="47">
        <f t="shared" si="2"/>
        <v>0</v>
      </c>
      <c r="V13" s="47">
        <f t="shared" si="3"/>
        <v>0</v>
      </c>
      <c r="W13" s="47">
        <f t="shared" si="4"/>
        <v>44693.560000000005</v>
      </c>
      <c r="X13" s="43">
        <f t="shared" si="5"/>
        <v>62871</v>
      </c>
      <c r="Y13" s="43">
        <f t="shared" si="6"/>
        <v>75136.36</v>
      </c>
      <c r="Z13" s="43">
        <f t="shared" si="7"/>
        <v>30133.96</v>
      </c>
      <c r="AA13" s="43">
        <f t="shared" si="19"/>
        <v>2269.5060606060606</v>
      </c>
      <c r="AB13" s="133" t="s">
        <v>166</v>
      </c>
      <c r="AC13" s="133"/>
      <c r="AD13" s="133"/>
      <c r="AE13" s="133" t="s">
        <v>166</v>
      </c>
      <c r="AF13" s="133"/>
      <c r="AG13" s="133"/>
      <c r="AI13" s="47" t="s">
        <v>166</v>
      </c>
      <c r="AJ13" s="133" t="s">
        <v>166</v>
      </c>
      <c r="AK13" s="133"/>
      <c r="AL13" s="133"/>
      <c r="AS13" s="43">
        <f t="shared" si="8"/>
        <v>0</v>
      </c>
      <c r="AU13" s="43">
        <f t="shared" si="9"/>
        <v>0</v>
      </c>
      <c r="BC13" s="2">
        <f t="shared" si="20"/>
        <v>0</v>
      </c>
      <c r="BE13" s="43">
        <f t="shared" si="10"/>
        <v>0</v>
      </c>
      <c r="BF13" s="47" t="s">
        <v>166</v>
      </c>
      <c r="BG13" s="43">
        <f t="shared" si="11"/>
        <v>694.10870833333331</v>
      </c>
      <c r="BH13" s="47" t="s">
        <v>166</v>
      </c>
      <c r="BI13" s="2">
        <v>1</v>
      </c>
      <c r="BJ13" s="43">
        <f t="shared" si="12"/>
        <v>373.54500000000002</v>
      </c>
      <c r="BM13" s="83"/>
      <c r="BN13" s="43">
        <f t="shared" si="13"/>
        <v>0</v>
      </c>
      <c r="BP13" s="64">
        <f t="shared" si="14"/>
        <v>0</v>
      </c>
    </row>
    <row r="14" spans="1:68" x14ac:dyDescent="0.25">
      <c r="A14" s="150"/>
      <c r="B14" t="s">
        <v>45</v>
      </c>
      <c r="C14" s="2">
        <v>2136</v>
      </c>
      <c r="D14" s="1">
        <v>15</v>
      </c>
      <c r="E14" s="1">
        <v>3</v>
      </c>
      <c r="F14" s="3">
        <f t="shared" si="25"/>
        <v>32040</v>
      </c>
      <c r="G14" s="3">
        <f t="shared" si="26"/>
        <v>3560</v>
      </c>
      <c r="H14" s="2">
        <f t="shared" si="27"/>
        <v>296.66666666666663</v>
      </c>
      <c r="I14" s="1">
        <v>110</v>
      </c>
      <c r="J14" s="1">
        <f t="shared" si="24"/>
        <v>590</v>
      </c>
      <c r="K14" s="1" t="s">
        <v>61</v>
      </c>
      <c r="O14" s="3"/>
      <c r="S14" s="47">
        <f t="shared" si="0"/>
        <v>94594.700000000012</v>
      </c>
      <c r="T14" s="192">
        <f t="shared" si="1"/>
        <v>0</v>
      </c>
      <c r="U14" s="47">
        <f t="shared" si="2"/>
        <v>0</v>
      </c>
      <c r="V14" s="47">
        <f t="shared" si="3"/>
        <v>0</v>
      </c>
      <c r="W14" s="47">
        <f t="shared" si="4"/>
        <v>36062.800000000003</v>
      </c>
      <c r="X14" s="43">
        <f t="shared" si="5"/>
        <v>50730</v>
      </c>
      <c r="Y14" s="43">
        <f t="shared" si="6"/>
        <v>60626.8</v>
      </c>
      <c r="Z14" s="43">
        <f t="shared" si="7"/>
        <v>24314.799999999999</v>
      </c>
      <c r="AA14" s="43">
        <f t="shared" si="19"/>
        <v>2197.4909090909091</v>
      </c>
      <c r="AB14" s="133"/>
      <c r="AC14" s="133"/>
      <c r="AD14" s="133"/>
      <c r="AE14" s="133"/>
      <c r="AF14" s="133"/>
      <c r="AG14" s="133"/>
      <c r="AI14" s="47" t="s">
        <v>166</v>
      </c>
      <c r="AJ14" s="133" t="s">
        <v>166</v>
      </c>
      <c r="AK14" s="133"/>
      <c r="AL14" s="133"/>
      <c r="AS14" s="43">
        <f t="shared" si="8"/>
        <v>0</v>
      </c>
      <c r="AU14" s="43">
        <f t="shared" si="9"/>
        <v>0</v>
      </c>
      <c r="BC14" s="2">
        <f t="shared" si="20"/>
        <v>0</v>
      </c>
      <c r="BE14" s="43">
        <f t="shared" si="10"/>
        <v>0</v>
      </c>
      <c r="BG14" s="43">
        <f t="shared" si="11"/>
        <v>0</v>
      </c>
      <c r="BH14" s="47" t="s">
        <v>166</v>
      </c>
      <c r="BI14" s="2">
        <v>1</v>
      </c>
      <c r="BJ14" s="43">
        <f t="shared" si="12"/>
        <v>311.28750000000002</v>
      </c>
      <c r="BM14" s="83"/>
      <c r="BN14" s="43">
        <f t="shared" si="13"/>
        <v>0</v>
      </c>
      <c r="BP14" s="64">
        <f t="shared" si="14"/>
        <v>0</v>
      </c>
    </row>
    <row r="15" spans="1:68" ht="15" customHeight="1" x14ac:dyDescent="0.25">
      <c r="A15" s="150"/>
      <c r="B15" t="s">
        <v>48</v>
      </c>
      <c r="C15" s="2">
        <v>3182</v>
      </c>
      <c r="D15" s="1">
        <v>23</v>
      </c>
      <c r="E15" s="1">
        <v>3</v>
      </c>
      <c r="F15" s="3">
        <f t="shared" si="25"/>
        <v>73186</v>
      </c>
      <c r="G15" s="3">
        <f t="shared" si="26"/>
        <v>8131.7777777777774</v>
      </c>
      <c r="H15" s="2">
        <f t="shared" si="27"/>
        <v>677.64814814814804</v>
      </c>
      <c r="I15" s="1">
        <v>110</v>
      </c>
      <c r="J15" s="1">
        <f t="shared" si="24"/>
        <v>1350</v>
      </c>
      <c r="K15" s="1" t="s">
        <v>61</v>
      </c>
      <c r="L15" s="6"/>
      <c r="O15" s="3"/>
      <c r="Q15" s="1">
        <v>1</v>
      </c>
      <c r="S15" s="47">
        <f t="shared" si="0"/>
        <v>216445.50000000003</v>
      </c>
      <c r="T15" s="192">
        <f t="shared" si="1"/>
        <v>0</v>
      </c>
      <c r="U15" s="47">
        <f t="shared" si="2"/>
        <v>0</v>
      </c>
      <c r="V15" s="47">
        <f t="shared" si="3"/>
        <v>0</v>
      </c>
      <c r="W15" s="47">
        <f t="shared" si="4"/>
        <v>82374.908888888895</v>
      </c>
      <c r="X15" s="43">
        <f t="shared" si="5"/>
        <v>115877.83333333333</v>
      </c>
      <c r="Y15" s="43">
        <f t="shared" si="6"/>
        <v>138484.17555555556</v>
      </c>
      <c r="Z15" s="43">
        <f t="shared" si="7"/>
        <v>55540.042222222219</v>
      </c>
      <c r="AA15" s="43">
        <f t="shared" si="19"/>
        <v>3273.6030303030302</v>
      </c>
      <c r="AB15" s="133"/>
      <c r="AC15" s="133"/>
      <c r="AD15" s="133"/>
      <c r="AE15" s="133"/>
      <c r="AF15" s="133"/>
      <c r="AG15" s="133"/>
      <c r="AI15" s="47" t="s">
        <v>166</v>
      </c>
      <c r="AJ15" s="133"/>
      <c r="AK15" s="133"/>
      <c r="AL15" s="133"/>
      <c r="AS15" s="43">
        <f t="shared" si="8"/>
        <v>0</v>
      </c>
      <c r="AU15" s="43">
        <f t="shared" si="9"/>
        <v>0</v>
      </c>
      <c r="BC15" s="2">
        <f t="shared" si="20"/>
        <v>0</v>
      </c>
      <c r="BE15" s="43">
        <f t="shared" si="10"/>
        <v>0</v>
      </c>
      <c r="BG15" s="43">
        <f t="shared" si="11"/>
        <v>0</v>
      </c>
      <c r="BH15" s="47" t="s">
        <v>166</v>
      </c>
      <c r="BI15" s="2">
        <v>6</v>
      </c>
      <c r="BJ15" s="43">
        <f t="shared" si="12"/>
        <v>2863.8450000000003</v>
      </c>
      <c r="BM15" s="83"/>
      <c r="BN15" s="43">
        <f t="shared" si="13"/>
        <v>0</v>
      </c>
      <c r="BP15" s="64">
        <f t="shared" si="14"/>
        <v>0</v>
      </c>
    </row>
    <row r="16" spans="1:68" x14ac:dyDescent="0.25">
      <c r="A16" s="150"/>
      <c r="B16" t="s">
        <v>50</v>
      </c>
      <c r="C16" s="2">
        <v>2359</v>
      </c>
      <c r="D16" s="1">
        <v>22.5</v>
      </c>
      <c r="E16" s="1">
        <v>3</v>
      </c>
      <c r="F16" s="3">
        <f t="shared" si="25"/>
        <v>53077.5</v>
      </c>
      <c r="G16" s="3">
        <f t="shared" si="26"/>
        <v>5897.5</v>
      </c>
      <c r="H16" s="2">
        <f t="shared" si="27"/>
        <v>491.45833333333331</v>
      </c>
      <c r="I16" s="1">
        <v>110</v>
      </c>
      <c r="J16" s="1">
        <f t="shared" si="24"/>
        <v>980</v>
      </c>
      <c r="K16" s="1" t="s">
        <v>60</v>
      </c>
      <c r="L16" s="1">
        <v>32</v>
      </c>
      <c r="M16" s="1">
        <v>5</v>
      </c>
      <c r="N16" s="1">
        <f>L16 * M16</f>
        <v>160</v>
      </c>
      <c r="O16" s="3">
        <f>N16 / 9</f>
        <v>17.777777777777779</v>
      </c>
      <c r="S16" s="47">
        <f t="shared" si="0"/>
        <v>157123.40000000002</v>
      </c>
      <c r="T16" s="192">
        <f t="shared" si="1"/>
        <v>23590</v>
      </c>
      <c r="U16" s="47">
        <f t="shared" si="2"/>
        <v>3140.7999999999997</v>
      </c>
      <c r="V16" s="47">
        <f t="shared" si="3"/>
        <v>0</v>
      </c>
      <c r="W16" s="47">
        <f t="shared" si="4"/>
        <v>0</v>
      </c>
      <c r="X16" s="43">
        <f t="shared" si="5"/>
        <v>0</v>
      </c>
      <c r="Y16" s="43">
        <f t="shared" si="6"/>
        <v>0</v>
      </c>
      <c r="Z16" s="43">
        <f t="shared" si="7"/>
        <v>0</v>
      </c>
      <c r="AA16" s="43">
        <f t="shared" si="19"/>
        <v>0</v>
      </c>
      <c r="AB16" s="133"/>
      <c r="AC16" s="133"/>
      <c r="AD16" s="133"/>
      <c r="AE16" s="133"/>
      <c r="AF16" s="133"/>
      <c r="AG16" s="133"/>
      <c r="AJ16" s="133"/>
      <c r="AK16" s="133"/>
      <c r="AL16" s="133"/>
      <c r="AS16" s="43">
        <f t="shared" si="8"/>
        <v>0</v>
      </c>
      <c r="AU16" s="43">
        <f t="shared" si="9"/>
        <v>0</v>
      </c>
      <c r="BC16" s="2">
        <f t="shared" si="20"/>
        <v>0</v>
      </c>
      <c r="BE16" s="43">
        <f t="shared" si="10"/>
        <v>0</v>
      </c>
      <c r="BG16" s="43">
        <f t="shared" si="11"/>
        <v>0</v>
      </c>
      <c r="BH16" s="47" t="s">
        <v>166</v>
      </c>
      <c r="BI16" s="2">
        <v>2</v>
      </c>
      <c r="BJ16" s="43">
        <f t="shared" si="12"/>
        <v>933.86250000000007</v>
      </c>
      <c r="BM16" s="83"/>
      <c r="BN16" s="43">
        <f t="shared" si="13"/>
        <v>0</v>
      </c>
      <c r="BP16" s="64">
        <f t="shared" si="14"/>
        <v>0</v>
      </c>
    </row>
    <row r="17" spans="1:68" x14ac:dyDescent="0.25">
      <c r="A17" s="150"/>
      <c r="F17" s="3"/>
      <c r="G17" s="3"/>
      <c r="H17" s="2"/>
      <c r="L17" s="1">
        <v>15</v>
      </c>
      <c r="M17" s="1">
        <v>6</v>
      </c>
      <c r="N17" s="1">
        <f>L17 * M17</f>
        <v>90</v>
      </c>
      <c r="O17" s="3">
        <f>N17 / 9</f>
        <v>10</v>
      </c>
      <c r="S17" s="47">
        <f t="shared" si="0"/>
        <v>0</v>
      </c>
      <c r="T17" s="192">
        <f t="shared" si="1"/>
        <v>0</v>
      </c>
      <c r="U17" s="47">
        <f t="shared" si="2"/>
        <v>1766.6999999999998</v>
      </c>
      <c r="V17" s="47">
        <f t="shared" si="3"/>
        <v>0</v>
      </c>
      <c r="W17" s="47">
        <f t="shared" si="4"/>
        <v>0</v>
      </c>
      <c r="X17" s="43">
        <f t="shared" si="5"/>
        <v>0</v>
      </c>
      <c r="Y17" s="43">
        <f t="shared" si="6"/>
        <v>0</v>
      </c>
      <c r="Z17" s="43">
        <f t="shared" si="7"/>
        <v>0</v>
      </c>
      <c r="AA17" s="43">
        <f t="shared" si="19"/>
        <v>0</v>
      </c>
      <c r="AB17" s="133"/>
      <c r="AC17" s="133"/>
      <c r="AD17" s="133"/>
      <c r="AE17" s="133"/>
      <c r="AF17" s="133"/>
      <c r="AG17" s="133"/>
      <c r="AJ17" s="133"/>
      <c r="AK17" s="133"/>
      <c r="AL17" s="133"/>
      <c r="AS17" s="43">
        <f t="shared" si="8"/>
        <v>0</v>
      </c>
      <c r="AU17" s="43">
        <f t="shared" si="9"/>
        <v>0</v>
      </c>
      <c r="BC17" s="2">
        <f t="shared" si="20"/>
        <v>0</v>
      </c>
      <c r="BE17" s="43">
        <f t="shared" si="10"/>
        <v>0</v>
      </c>
      <c r="BG17" s="43">
        <f t="shared" si="11"/>
        <v>0</v>
      </c>
      <c r="BJ17" s="43">
        <f t="shared" si="12"/>
        <v>0</v>
      </c>
      <c r="BM17" s="83"/>
      <c r="BN17" s="43">
        <f t="shared" si="13"/>
        <v>0</v>
      </c>
      <c r="BP17" s="64">
        <f t="shared" si="14"/>
        <v>0</v>
      </c>
    </row>
    <row r="18" spans="1:68" x14ac:dyDescent="0.25">
      <c r="A18" s="150"/>
      <c r="F18" s="3"/>
      <c r="G18" s="3"/>
      <c r="H18" s="2"/>
      <c r="L18" s="1">
        <v>36</v>
      </c>
      <c r="M18" s="1">
        <v>4</v>
      </c>
      <c r="N18" s="1">
        <f>L18 * M18</f>
        <v>144</v>
      </c>
      <c r="O18" s="3">
        <f>N18 / 9</f>
        <v>16</v>
      </c>
      <c r="S18" s="47">
        <f t="shared" si="0"/>
        <v>0</v>
      </c>
      <c r="T18" s="192">
        <f t="shared" si="1"/>
        <v>0</v>
      </c>
      <c r="U18" s="47">
        <f t="shared" si="2"/>
        <v>2826.72</v>
      </c>
      <c r="V18" s="47">
        <f t="shared" si="3"/>
        <v>0</v>
      </c>
      <c r="W18" s="47">
        <f t="shared" si="4"/>
        <v>0</v>
      </c>
      <c r="X18" s="43">
        <f t="shared" si="5"/>
        <v>0</v>
      </c>
      <c r="Y18" s="43">
        <f t="shared" si="6"/>
        <v>0</v>
      </c>
      <c r="Z18" s="43">
        <f t="shared" si="7"/>
        <v>0</v>
      </c>
      <c r="AA18" s="43">
        <f t="shared" si="19"/>
        <v>0</v>
      </c>
      <c r="AB18" s="133"/>
      <c r="AC18" s="133"/>
      <c r="AD18" s="133"/>
      <c r="AE18" s="133"/>
      <c r="AF18" s="133"/>
      <c r="AG18" s="133"/>
      <c r="AJ18" s="133"/>
      <c r="AK18" s="133"/>
      <c r="AL18" s="133"/>
      <c r="AS18" s="43">
        <f t="shared" si="8"/>
        <v>0</v>
      </c>
      <c r="AU18" s="43">
        <f t="shared" si="9"/>
        <v>0</v>
      </c>
      <c r="BC18" s="2">
        <f t="shared" si="20"/>
        <v>0</v>
      </c>
      <c r="BE18" s="43">
        <f t="shared" si="10"/>
        <v>0</v>
      </c>
      <c r="BG18" s="43">
        <f t="shared" si="11"/>
        <v>0</v>
      </c>
      <c r="BJ18" s="43">
        <f t="shared" si="12"/>
        <v>0</v>
      </c>
      <c r="BM18" s="83"/>
      <c r="BN18" s="43">
        <f t="shared" si="13"/>
        <v>0</v>
      </c>
      <c r="BP18" s="64">
        <f t="shared" si="14"/>
        <v>0</v>
      </c>
    </row>
    <row r="19" spans="1:68" x14ac:dyDescent="0.25">
      <c r="A19" s="150"/>
      <c r="B19" t="s">
        <v>51</v>
      </c>
      <c r="C19" s="2">
        <v>839</v>
      </c>
      <c r="D19" s="1">
        <v>22.5</v>
      </c>
      <c r="E19" s="1">
        <v>3</v>
      </c>
      <c r="F19" s="3">
        <f t="shared" si="25"/>
        <v>18877.5</v>
      </c>
      <c r="G19" s="3">
        <f t="shared" si="26"/>
        <v>2097.5</v>
      </c>
      <c r="H19" s="2">
        <f t="shared" si="27"/>
        <v>174.79166666666666</v>
      </c>
      <c r="I19" s="1">
        <v>110</v>
      </c>
      <c r="J19" s="1">
        <f t="shared" si="24"/>
        <v>350</v>
      </c>
      <c r="K19" s="1" t="s">
        <v>60</v>
      </c>
      <c r="O19" s="3"/>
      <c r="Q19" s="1">
        <v>1</v>
      </c>
      <c r="S19" s="47">
        <f t="shared" si="0"/>
        <v>56115.500000000007</v>
      </c>
      <c r="T19" s="192">
        <f t="shared" si="1"/>
        <v>8390</v>
      </c>
      <c r="U19" s="47">
        <f t="shared" si="2"/>
        <v>0</v>
      </c>
      <c r="V19" s="47">
        <f t="shared" si="3"/>
        <v>0</v>
      </c>
      <c r="W19" s="47">
        <f t="shared" si="4"/>
        <v>0</v>
      </c>
      <c r="X19" s="43">
        <f t="shared" si="5"/>
        <v>0</v>
      </c>
      <c r="Y19" s="43">
        <f t="shared" si="6"/>
        <v>0</v>
      </c>
      <c r="Z19" s="43">
        <f t="shared" si="7"/>
        <v>0</v>
      </c>
      <c r="AA19" s="43">
        <f t="shared" si="19"/>
        <v>0</v>
      </c>
      <c r="AB19" s="133"/>
      <c r="AC19" s="133"/>
      <c r="AD19" s="133"/>
      <c r="AE19" s="133"/>
      <c r="AF19" s="133"/>
      <c r="AG19" s="133"/>
      <c r="AJ19" s="133"/>
      <c r="AK19" s="133"/>
      <c r="AL19" s="133"/>
      <c r="AS19" s="43">
        <f t="shared" si="8"/>
        <v>0</v>
      </c>
      <c r="AU19" s="43">
        <f t="shared" si="9"/>
        <v>0</v>
      </c>
      <c r="BC19" s="2">
        <f t="shared" si="20"/>
        <v>0</v>
      </c>
      <c r="BE19" s="43">
        <f t="shared" si="10"/>
        <v>0</v>
      </c>
      <c r="BG19" s="43">
        <f t="shared" si="11"/>
        <v>0</v>
      </c>
      <c r="BH19" s="47" t="s">
        <v>166</v>
      </c>
      <c r="BI19" s="2">
        <v>2</v>
      </c>
      <c r="BJ19" s="43">
        <f t="shared" si="12"/>
        <v>933.86250000000007</v>
      </c>
      <c r="BM19" s="83"/>
      <c r="BN19" s="43">
        <f t="shared" si="13"/>
        <v>0</v>
      </c>
      <c r="BP19" s="64">
        <f t="shared" si="14"/>
        <v>0</v>
      </c>
    </row>
    <row r="20" spans="1:68" x14ac:dyDescent="0.25">
      <c r="A20" s="150"/>
      <c r="B20" t="s">
        <v>52</v>
      </c>
      <c r="C20" s="2">
        <v>2658</v>
      </c>
      <c r="D20" s="1">
        <v>22.5</v>
      </c>
      <c r="E20" s="1">
        <v>3</v>
      </c>
      <c r="F20" s="3">
        <f t="shared" si="25"/>
        <v>59805</v>
      </c>
      <c r="G20" s="3">
        <f t="shared" si="26"/>
        <v>6645</v>
      </c>
      <c r="H20" s="2">
        <f t="shared" si="27"/>
        <v>553.75</v>
      </c>
      <c r="I20" s="1">
        <v>110</v>
      </c>
      <c r="J20" s="1">
        <f t="shared" si="24"/>
        <v>1100</v>
      </c>
      <c r="K20" s="1" t="s">
        <v>60</v>
      </c>
      <c r="O20" s="3"/>
      <c r="Q20" s="1">
        <v>1</v>
      </c>
      <c r="S20" s="47">
        <f t="shared" si="0"/>
        <v>176363</v>
      </c>
      <c r="T20" s="192">
        <f t="shared" si="1"/>
        <v>26580</v>
      </c>
      <c r="U20" s="47">
        <f t="shared" si="2"/>
        <v>0</v>
      </c>
      <c r="V20" s="47">
        <f t="shared" si="3"/>
        <v>0</v>
      </c>
      <c r="W20" s="47">
        <f t="shared" si="4"/>
        <v>0</v>
      </c>
      <c r="X20" s="43">
        <f t="shared" si="5"/>
        <v>0</v>
      </c>
      <c r="Y20" s="43">
        <f t="shared" si="6"/>
        <v>0</v>
      </c>
      <c r="Z20" s="43">
        <f t="shared" si="7"/>
        <v>0</v>
      </c>
      <c r="AA20" s="43">
        <f t="shared" si="19"/>
        <v>0</v>
      </c>
      <c r="AB20" s="133"/>
      <c r="AC20" s="133"/>
      <c r="AD20" s="133"/>
      <c r="AE20" s="133"/>
      <c r="AF20" s="133"/>
      <c r="AG20" s="133"/>
      <c r="AJ20" s="133"/>
      <c r="AK20" s="133"/>
      <c r="AL20" s="133"/>
      <c r="AS20" s="43">
        <f t="shared" si="8"/>
        <v>0</v>
      </c>
      <c r="AU20" s="43">
        <f t="shared" si="9"/>
        <v>0</v>
      </c>
      <c r="BC20" s="2">
        <f t="shared" si="20"/>
        <v>0</v>
      </c>
      <c r="BE20" s="43">
        <f t="shared" si="10"/>
        <v>0</v>
      </c>
      <c r="BG20" s="43">
        <f t="shared" si="11"/>
        <v>0</v>
      </c>
      <c r="BH20" s="47" t="s">
        <v>166</v>
      </c>
      <c r="BI20" s="2">
        <v>1</v>
      </c>
      <c r="BJ20" s="43">
        <f t="shared" si="12"/>
        <v>466.93125000000003</v>
      </c>
      <c r="BM20" s="83"/>
      <c r="BN20" s="43">
        <f t="shared" si="13"/>
        <v>0</v>
      </c>
      <c r="BP20" s="64">
        <f t="shared" si="14"/>
        <v>0</v>
      </c>
    </row>
    <row r="21" spans="1:68" x14ac:dyDescent="0.25">
      <c r="A21" s="150"/>
      <c r="B21" t="s">
        <v>53</v>
      </c>
      <c r="C21" s="2">
        <v>874</v>
      </c>
      <c r="D21" s="1">
        <v>22.5</v>
      </c>
      <c r="E21" s="1">
        <v>3</v>
      </c>
      <c r="F21" s="3">
        <f t="shared" si="25"/>
        <v>19665</v>
      </c>
      <c r="G21" s="3">
        <f t="shared" si="26"/>
        <v>2185</v>
      </c>
      <c r="H21" s="2">
        <f t="shared" si="27"/>
        <v>182.08333333333331</v>
      </c>
      <c r="I21" s="1">
        <v>110</v>
      </c>
      <c r="J21" s="1">
        <f t="shared" si="24"/>
        <v>370</v>
      </c>
      <c r="K21" s="1" t="s">
        <v>60</v>
      </c>
      <c r="O21" s="3"/>
      <c r="Q21" s="1">
        <v>1</v>
      </c>
      <c r="S21" s="47">
        <f t="shared" si="0"/>
        <v>59322.100000000006</v>
      </c>
      <c r="T21" s="192">
        <f t="shared" si="1"/>
        <v>8740</v>
      </c>
      <c r="U21" s="47">
        <f t="shared" si="2"/>
        <v>0</v>
      </c>
      <c r="V21" s="47">
        <f t="shared" si="3"/>
        <v>0</v>
      </c>
      <c r="W21" s="47">
        <f t="shared" si="4"/>
        <v>0</v>
      </c>
      <c r="X21" s="43">
        <f t="shared" si="5"/>
        <v>0</v>
      </c>
      <c r="Y21" s="43">
        <f t="shared" si="6"/>
        <v>0</v>
      </c>
      <c r="Z21" s="43">
        <f t="shared" si="7"/>
        <v>0</v>
      </c>
      <c r="AA21" s="43">
        <f t="shared" si="19"/>
        <v>0</v>
      </c>
      <c r="AB21" s="133"/>
      <c r="AC21" s="133"/>
      <c r="AD21" s="133"/>
      <c r="AE21" s="133"/>
      <c r="AF21" s="133"/>
      <c r="AG21" s="133"/>
      <c r="AJ21" s="133"/>
      <c r="AK21" s="133"/>
      <c r="AL21" s="133"/>
      <c r="AS21" s="43">
        <f t="shared" si="8"/>
        <v>0</v>
      </c>
      <c r="AU21" s="43">
        <f t="shared" si="9"/>
        <v>0</v>
      </c>
      <c r="BC21" s="2">
        <f t="shared" si="20"/>
        <v>0</v>
      </c>
      <c r="BE21" s="43">
        <f t="shared" si="10"/>
        <v>0</v>
      </c>
      <c r="BG21" s="43">
        <f t="shared" si="11"/>
        <v>0</v>
      </c>
      <c r="BH21" s="47" t="s">
        <v>166</v>
      </c>
      <c r="BI21" s="2">
        <v>1</v>
      </c>
      <c r="BJ21" s="43">
        <f t="shared" si="12"/>
        <v>466.93125000000003</v>
      </c>
      <c r="BM21" s="83"/>
      <c r="BN21" s="43">
        <f t="shared" si="13"/>
        <v>0</v>
      </c>
      <c r="BP21" s="64">
        <f t="shared" si="14"/>
        <v>0</v>
      </c>
    </row>
    <row r="22" spans="1:68" x14ac:dyDescent="0.25">
      <c r="A22" s="150"/>
      <c r="B22" t="s">
        <v>54</v>
      </c>
      <c r="C22" s="2">
        <v>575</v>
      </c>
      <c r="D22" s="1">
        <v>22.5</v>
      </c>
      <c r="E22" s="1">
        <v>3</v>
      </c>
      <c r="F22" s="3">
        <f t="shared" si="25"/>
        <v>12937.5</v>
      </c>
      <c r="G22" s="3">
        <f t="shared" si="26"/>
        <v>1437.5</v>
      </c>
      <c r="H22" s="2">
        <f t="shared" si="27"/>
        <v>119.79166666666666</v>
      </c>
      <c r="I22" s="1">
        <v>110</v>
      </c>
      <c r="J22" s="1">
        <f t="shared" si="24"/>
        <v>240</v>
      </c>
      <c r="K22" s="1" t="s">
        <v>60</v>
      </c>
      <c r="O22" s="3"/>
      <c r="Q22" s="1">
        <v>1</v>
      </c>
      <c r="S22" s="47">
        <f t="shared" si="0"/>
        <v>38479.200000000004</v>
      </c>
      <c r="T22" s="192">
        <f t="shared" si="1"/>
        <v>5750</v>
      </c>
      <c r="U22" s="47">
        <f t="shared" si="2"/>
        <v>0</v>
      </c>
      <c r="V22" s="47">
        <f t="shared" si="3"/>
        <v>0</v>
      </c>
      <c r="W22" s="47">
        <f t="shared" si="4"/>
        <v>0</v>
      </c>
      <c r="X22" s="43">
        <f t="shared" si="5"/>
        <v>0</v>
      </c>
      <c r="Y22" s="43">
        <f t="shared" si="6"/>
        <v>0</v>
      </c>
      <c r="Z22" s="43">
        <f t="shared" si="7"/>
        <v>0</v>
      </c>
      <c r="AA22" s="43">
        <f t="shared" si="19"/>
        <v>0</v>
      </c>
      <c r="AB22" s="133"/>
      <c r="AC22" s="133"/>
      <c r="AD22" s="133"/>
      <c r="AE22" s="133"/>
      <c r="AF22" s="133"/>
      <c r="AG22" s="133"/>
      <c r="AJ22" s="133"/>
      <c r="AK22" s="133"/>
      <c r="AL22" s="133"/>
      <c r="AS22" s="43">
        <f t="shared" si="8"/>
        <v>0</v>
      </c>
      <c r="AU22" s="43">
        <f t="shared" si="9"/>
        <v>0</v>
      </c>
      <c r="BC22" s="2">
        <f t="shared" si="20"/>
        <v>0</v>
      </c>
      <c r="BE22" s="43">
        <f t="shared" si="10"/>
        <v>0</v>
      </c>
      <c r="BG22" s="43">
        <f t="shared" si="11"/>
        <v>0</v>
      </c>
      <c r="BJ22" s="43">
        <f t="shared" si="12"/>
        <v>0</v>
      </c>
      <c r="BM22" s="83"/>
      <c r="BN22" s="43">
        <f t="shared" si="13"/>
        <v>0</v>
      </c>
      <c r="BP22" s="64">
        <f t="shared" si="14"/>
        <v>0</v>
      </c>
    </row>
    <row r="23" spans="1:68" x14ac:dyDescent="0.25">
      <c r="A23" s="150"/>
      <c r="B23" t="s">
        <v>62</v>
      </c>
      <c r="C23" s="2">
        <v>410</v>
      </c>
      <c r="D23" s="1">
        <v>23</v>
      </c>
      <c r="E23" s="1">
        <v>3</v>
      </c>
      <c r="F23" s="3">
        <f t="shared" ref="F23:F46" si="28">C23*D23</f>
        <v>9430</v>
      </c>
      <c r="G23" s="3">
        <f t="shared" ref="G23:G46" si="29">F23/9</f>
        <v>1047.7777777777778</v>
      </c>
      <c r="H23" s="2">
        <f t="shared" ref="H23:H46" si="30" xml:space="preserve"> (G23* (E23 / 36))</f>
        <v>87.31481481481481</v>
      </c>
      <c r="I23" s="1">
        <v>110</v>
      </c>
      <c r="J23" s="1">
        <f t="shared" ref="J23:J41" si="31" xml:space="preserve"> ROUNDUP(((I23 * E23 * G23)/2000), -1)</f>
        <v>180</v>
      </c>
      <c r="K23" s="1" t="s">
        <v>60</v>
      </c>
      <c r="O23" s="3"/>
      <c r="Q23" s="1">
        <v>1</v>
      </c>
      <c r="S23" s="47">
        <f t="shared" si="0"/>
        <v>28859.4</v>
      </c>
      <c r="T23" s="192">
        <f t="shared" si="1"/>
        <v>4191.1111111111113</v>
      </c>
      <c r="U23" s="47">
        <f t="shared" si="2"/>
        <v>0</v>
      </c>
      <c r="V23" s="47">
        <f t="shared" si="3"/>
        <v>0</v>
      </c>
      <c r="W23" s="47">
        <f t="shared" si="4"/>
        <v>0</v>
      </c>
      <c r="X23" s="43">
        <f t="shared" si="5"/>
        <v>0</v>
      </c>
      <c r="Y23" s="43">
        <f t="shared" si="6"/>
        <v>0</v>
      </c>
      <c r="Z23" s="43">
        <f t="shared" si="7"/>
        <v>0</v>
      </c>
      <c r="AA23" s="43">
        <f t="shared" si="19"/>
        <v>0</v>
      </c>
      <c r="AB23" s="133"/>
      <c r="AC23" s="133"/>
      <c r="AD23" s="133"/>
      <c r="AE23" s="133"/>
      <c r="AF23" s="133"/>
      <c r="AG23" s="133"/>
      <c r="AJ23" s="133"/>
      <c r="AK23" s="133"/>
      <c r="AL23" s="133"/>
      <c r="AS23" s="43">
        <f t="shared" si="8"/>
        <v>0</v>
      </c>
      <c r="AU23" s="43">
        <f t="shared" si="9"/>
        <v>0</v>
      </c>
      <c r="BC23" s="2">
        <f t="shared" si="20"/>
        <v>0</v>
      </c>
      <c r="BE23" s="43">
        <f t="shared" si="10"/>
        <v>0</v>
      </c>
      <c r="BG23" s="43">
        <f t="shared" si="11"/>
        <v>0</v>
      </c>
      <c r="BH23" s="47" t="s">
        <v>166</v>
      </c>
      <c r="BI23" s="2">
        <v>1</v>
      </c>
      <c r="BJ23" s="43">
        <f t="shared" si="12"/>
        <v>477.3075</v>
      </c>
      <c r="BM23" s="83"/>
      <c r="BN23" s="43">
        <f t="shared" si="13"/>
        <v>0</v>
      </c>
      <c r="BP23" s="64">
        <f t="shared" si="14"/>
        <v>0</v>
      </c>
    </row>
    <row r="24" spans="1:68" x14ac:dyDescent="0.25">
      <c r="A24" s="150"/>
      <c r="B24" t="s">
        <v>113</v>
      </c>
      <c r="C24" s="2">
        <v>2488</v>
      </c>
      <c r="D24" s="1">
        <v>20</v>
      </c>
      <c r="E24" s="1">
        <v>3</v>
      </c>
      <c r="F24" s="3">
        <f t="shared" si="28"/>
        <v>49760</v>
      </c>
      <c r="G24" s="3">
        <f t="shared" si="29"/>
        <v>5528.8888888888887</v>
      </c>
      <c r="H24" s="2">
        <f t="shared" si="30"/>
        <v>460.7407407407407</v>
      </c>
      <c r="I24" s="1">
        <v>110</v>
      </c>
      <c r="J24" s="1">
        <f t="shared" si="31"/>
        <v>920</v>
      </c>
      <c r="K24" s="1" t="s">
        <v>60</v>
      </c>
      <c r="L24" s="1">
        <v>55</v>
      </c>
      <c r="M24" s="1">
        <v>10</v>
      </c>
      <c r="N24" s="1">
        <f>L24 * M24</f>
        <v>550</v>
      </c>
      <c r="O24" s="3">
        <f>N24 / 9</f>
        <v>61.111111111111114</v>
      </c>
      <c r="Q24" s="1">
        <v>1</v>
      </c>
      <c r="S24" s="47">
        <f t="shared" si="0"/>
        <v>147503.6</v>
      </c>
      <c r="T24" s="192">
        <f t="shared" si="1"/>
        <v>22115.555555555555</v>
      </c>
      <c r="U24" s="47">
        <f t="shared" si="2"/>
        <v>10796.5</v>
      </c>
      <c r="V24" s="47">
        <f t="shared" si="3"/>
        <v>0</v>
      </c>
      <c r="W24" s="47">
        <f t="shared" si="4"/>
        <v>0</v>
      </c>
      <c r="X24" s="43">
        <f t="shared" si="5"/>
        <v>0</v>
      </c>
      <c r="Y24" s="43">
        <f t="shared" si="6"/>
        <v>0</v>
      </c>
      <c r="Z24" s="43">
        <f t="shared" si="7"/>
        <v>0</v>
      </c>
      <c r="AA24" s="43">
        <f t="shared" si="19"/>
        <v>0</v>
      </c>
      <c r="AB24" s="133" t="s">
        <v>166</v>
      </c>
      <c r="AC24" s="133"/>
      <c r="AD24" s="133"/>
      <c r="AE24" s="133" t="s">
        <v>166</v>
      </c>
      <c r="AF24" s="133"/>
      <c r="AG24" s="133"/>
      <c r="AJ24" s="133" t="s">
        <v>166</v>
      </c>
      <c r="AK24" s="133"/>
      <c r="AL24" s="133"/>
      <c r="AS24" s="43">
        <f t="shared" si="8"/>
        <v>0</v>
      </c>
      <c r="AU24" s="43">
        <f t="shared" si="9"/>
        <v>0</v>
      </c>
      <c r="BC24" s="2">
        <f t="shared" si="20"/>
        <v>0</v>
      </c>
      <c r="BE24" s="43">
        <f t="shared" si="10"/>
        <v>0</v>
      </c>
      <c r="BG24" s="43">
        <f t="shared" si="11"/>
        <v>0</v>
      </c>
      <c r="BH24" s="47" t="s">
        <v>166</v>
      </c>
      <c r="BI24" s="2">
        <v>6</v>
      </c>
      <c r="BJ24" s="43">
        <f t="shared" si="12"/>
        <v>2490.3000000000002</v>
      </c>
      <c r="BM24" s="83"/>
      <c r="BN24" s="43">
        <f t="shared" si="13"/>
        <v>0</v>
      </c>
      <c r="BP24" s="64">
        <f t="shared" si="14"/>
        <v>0</v>
      </c>
    </row>
    <row r="25" spans="1:68" x14ac:dyDescent="0.25">
      <c r="A25" s="150"/>
      <c r="F25" s="3"/>
      <c r="G25" s="3"/>
      <c r="H25" s="2"/>
      <c r="L25" s="1">
        <v>29</v>
      </c>
      <c r="M25" s="1">
        <v>10</v>
      </c>
      <c r="N25" s="1">
        <f>L25 * M25</f>
        <v>290</v>
      </c>
      <c r="O25" s="3">
        <f>N25 / 9</f>
        <v>32.222222222222221</v>
      </c>
      <c r="S25" s="47">
        <f t="shared" si="0"/>
        <v>0</v>
      </c>
      <c r="T25" s="192">
        <f t="shared" si="1"/>
        <v>0</v>
      </c>
      <c r="U25" s="47">
        <f t="shared" si="2"/>
        <v>5692.7</v>
      </c>
      <c r="V25" s="47">
        <f t="shared" si="3"/>
        <v>0</v>
      </c>
      <c r="W25" s="47">
        <f t="shared" si="4"/>
        <v>0</v>
      </c>
      <c r="X25" s="43">
        <f t="shared" si="5"/>
        <v>0</v>
      </c>
      <c r="Y25" s="43">
        <f t="shared" si="6"/>
        <v>0</v>
      </c>
      <c r="Z25" s="43">
        <f t="shared" si="7"/>
        <v>0</v>
      </c>
      <c r="AA25" s="43">
        <f t="shared" si="19"/>
        <v>0</v>
      </c>
      <c r="AB25" s="133"/>
      <c r="AC25" s="133"/>
      <c r="AD25" s="133"/>
      <c r="AE25" s="133"/>
      <c r="AF25" s="133"/>
      <c r="AG25" s="133"/>
      <c r="AJ25" s="133"/>
      <c r="AK25" s="133"/>
      <c r="AL25" s="133"/>
      <c r="AS25" s="43">
        <f t="shared" si="8"/>
        <v>0</v>
      </c>
      <c r="AU25" s="43">
        <f t="shared" si="9"/>
        <v>0</v>
      </c>
      <c r="BC25" s="2">
        <f t="shared" si="20"/>
        <v>0</v>
      </c>
      <c r="BE25" s="43">
        <f t="shared" si="10"/>
        <v>0</v>
      </c>
      <c r="BG25" s="43">
        <f t="shared" si="11"/>
        <v>0</v>
      </c>
      <c r="BJ25" s="43">
        <f t="shared" si="12"/>
        <v>0</v>
      </c>
      <c r="BM25" s="83"/>
      <c r="BN25" s="43">
        <f t="shared" si="13"/>
        <v>0</v>
      </c>
      <c r="BP25" s="64">
        <f t="shared" si="14"/>
        <v>0</v>
      </c>
    </row>
    <row r="26" spans="1:68" x14ac:dyDescent="0.25">
      <c r="A26" s="150"/>
      <c r="F26" s="3"/>
      <c r="G26" s="3"/>
      <c r="H26" s="2"/>
      <c r="L26" s="1">
        <v>78</v>
      </c>
      <c r="M26" s="1">
        <v>20</v>
      </c>
      <c r="N26" s="1">
        <f>L26 * M26</f>
        <v>1560</v>
      </c>
      <c r="O26" s="3">
        <f>N26 / 9</f>
        <v>173.33333333333334</v>
      </c>
      <c r="S26" s="47">
        <f t="shared" si="0"/>
        <v>0</v>
      </c>
      <c r="T26" s="192">
        <f t="shared" si="1"/>
        <v>0</v>
      </c>
      <c r="U26" s="47">
        <f t="shared" si="2"/>
        <v>30622.799999999999</v>
      </c>
      <c r="V26" s="47">
        <f t="shared" si="3"/>
        <v>0</v>
      </c>
      <c r="W26" s="47">
        <f t="shared" si="4"/>
        <v>0</v>
      </c>
      <c r="X26" s="43">
        <f t="shared" si="5"/>
        <v>0</v>
      </c>
      <c r="Y26" s="43">
        <f t="shared" si="6"/>
        <v>0</v>
      </c>
      <c r="Z26" s="43">
        <f t="shared" si="7"/>
        <v>0</v>
      </c>
      <c r="AA26" s="43">
        <f t="shared" si="19"/>
        <v>0</v>
      </c>
      <c r="AB26" s="133"/>
      <c r="AC26" s="133"/>
      <c r="AD26" s="133"/>
      <c r="AE26" s="133"/>
      <c r="AF26" s="133"/>
      <c r="AG26" s="133"/>
      <c r="AJ26" s="133"/>
      <c r="AK26" s="133"/>
      <c r="AL26" s="133"/>
      <c r="AS26" s="43">
        <f t="shared" si="8"/>
        <v>0</v>
      </c>
      <c r="AU26" s="43">
        <f t="shared" si="9"/>
        <v>0</v>
      </c>
      <c r="BC26" s="2">
        <f t="shared" si="20"/>
        <v>0</v>
      </c>
      <c r="BE26" s="43">
        <f t="shared" si="10"/>
        <v>0</v>
      </c>
      <c r="BG26" s="43">
        <f t="shared" si="11"/>
        <v>0</v>
      </c>
      <c r="BJ26" s="43">
        <f t="shared" si="12"/>
        <v>0</v>
      </c>
      <c r="BM26" s="83"/>
      <c r="BN26" s="43">
        <f t="shared" si="13"/>
        <v>0</v>
      </c>
      <c r="BP26" s="64">
        <f t="shared" si="14"/>
        <v>0</v>
      </c>
    </row>
    <row r="27" spans="1:68" x14ac:dyDescent="0.25">
      <c r="A27" s="150"/>
      <c r="B27" t="s">
        <v>63</v>
      </c>
      <c r="C27" s="2">
        <v>322</v>
      </c>
      <c r="D27" s="1">
        <v>23</v>
      </c>
      <c r="E27" s="1">
        <v>3</v>
      </c>
      <c r="F27" s="3">
        <f t="shared" si="28"/>
        <v>7406</v>
      </c>
      <c r="G27" s="3">
        <f t="shared" si="29"/>
        <v>822.88888888888891</v>
      </c>
      <c r="H27" s="2">
        <f t="shared" si="30"/>
        <v>68.574074074074076</v>
      </c>
      <c r="I27" s="1">
        <v>110</v>
      </c>
      <c r="J27" s="1">
        <f t="shared" si="31"/>
        <v>140</v>
      </c>
      <c r="K27" s="1" t="s">
        <v>60</v>
      </c>
      <c r="L27" s="1">
        <v>23</v>
      </c>
      <c r="M27" s="1">
        <v>45</v>
      </c>
      <c r="N27" s="1">
        <f>L27 * M27</f>
        <v>1035</v>
      </c>
      <c r="O27" s="3">
        <f>N27 / 9</f>
        <v>115</v>
      </c>
      <c r="Q27" s="1">
        <v>1</v>
      </c>
      <c r="S27" s="47">
        <f t="shared" si="0"/>
        <v>22446.2</v>
      </c>
      <c r="T27" s="192">
        <f t="shared" si="1"/>
        <v>3291.5555555555557</v>
      </c>
      <c r="U27" s="47">
        <f t="shared" si="2"/>
        <v>20317.05</v>
      </c>
      <c r="V27" s="47">
        <f t="shared" si="3"/>
        <v>0</v>
      </c>
      <c r="W27" s="47">
        <f t="shared" si="4"/>
        <v>0</v>
      </c>
      <c r="X27" s="43">
        <f t="shared" si="5"/>
        <v>0</v>
      </c>
      <c r="Y27" s="43">
        <f t="shared" si="6"/>
        <v>0</v>
      </c>
      <c r="Z27" s="43">
        <f t="shared" si="7"/>
        <v>0</v>
      </c>
      <c r="AA27" s="43">
        <f t="shared" si="19"/>
        <v>0</v>
      </c>
      <c r="AB27" s="133"/>
      <c r="AC27" s="133"/>
      <c r="AD27" s="133"/>
      <c r="AE27" s="133"/>
      <c r="AF27" s="133"/>
      <c r="AG27" s="133"/>
      <c r="AJ27" s="133"/>
      <c r="AK27" s="133"/>
      <c r="AL27" s="133"/>
      <c r="AS27" s="43">
        <f t="shared" si="8"/>
        <v>0</v>
      </c>
      <c r="AU27" s="43">
        <f t="shared" si="9"/>
        <v>0</v>
      </c>
      <c r="BC27" s="2">
        <f t="shared" si="20"/>
        <v>0</v>
      </c>
      <c r="BE27" s="43">
        <f t="shared" si="10"/>
        <v>0</v>
      </c>
      <c r="BG27" s="43">
        <f t="shared" si="11"/>
        <v>0</v>
      </c>
      <c r="BH27" s="47" t="s">
        <v>166</v>
      </c>
      <c r="BI27" s="2">
        <v>1</v>
      </c>
      <c r="BJ27" s="43">
        <f t="shared" si="12"/>
        <v>477.3075</v>
      </c>
      <c r="BM27" s="83"/>
      <c r="BN27" s="43">
        <f t="shared" si="13"/>
        <v>0</v>
      </c>
      <c r="BP27" s="64">
        <f t="shared" si="14"/>
        <v>0</v>
      </c>
    </row>
    <row r="28" spans="1:68" x14ac:dyDescent="0.25">
      <c r="A28" s="150"/>
      <c r="B28" t="s">
        <v>64</v>
      </c>
      <c r="C28" s="2">
        <v>565</v>
      </c>
      <c r="D28" s="1">
        <v>23</v>
      </c>
      <c r="E28" s="1">
        <v>3</v>
      </c>
      <c r="F28" s="3">
        <f t="shared" si="28"/>
        <v>12995</v>
      </c>
      <c r="G28" s="3">
        <f t="shared" si="29"/>
        <v>1443.8888888888889</v>
      </c>
      <c r="H28" s="2">
        <f t="shared" si="30"/>
        <v>120.32407407407408</v>
      </c>
      <c r="I28" s="1">
        <v>110</v>
      </c>
      <c r="J28" s="1">
        <f t="shared" si="31"/>
        <v>240</v>
      </c>
      <c r="K28" s="1" t="s">
        <v>60</v>
      </c>
      <c r="O28" s="3"/>
      <c r="Q28" s="1">
        <v>1</v>
      </c>
      <c r="S28" s="47">
        <f t="shared" si="0"/>
        <v>38479.200000000004</v>
      </c>
      <c r="T28" s="192">
        <f t="shared" si="1"/>
        <v>5775.5555555555557</v>
      </c>
      <c r="U28" s="47">
        <f t="shared" si="2"/>
        <v>0</v>
      </c>
      <c r="V28" s="47">
        <f t="shared" si="3"/>
        <v>0</v>
      </c>
      <c r="W28" s="47">
        <f t="shared" si="4"/>
        <v>0</v>
      </c>
      <c r="X28" s="43">
        <f t="shared" si="5"/>
        <v>0</v>
      </c>
      <c r="Y28" s="43">
        <f t="shared" si="6"/>
        <v>0</v>
      </c>
      <c r="Z28" s="43">
        <f t="shared" si="7"/>
        <v>0</v>
      </c>
      <c r="AA28" s="43">
        <f t="shared" si="19"/>
        <v>0</v>
      </c>
      <c r="AB28" s="133"/>
      <c r="AC28" s="133"/>
      <c r="AD28" s="133"/>
      <c r="AE28" s="133"/>
      <c r="AF28" s="133"/>
      <c r="AG28" s="133"/>
      <c r="AJ28" s="133" t="s">
        <v>166</v>
      </c>
      <c r="AK28" s="133"/>
      <c r="AL28" s="133"/>
      <c r="AS28" s="43">
        <f t="shared" si="8"/>
        <v>0</v>
      </c>
      <c r="AU28" s="43">
        <f t="shared" si="9"/>
        <v>0</v>
      </c>
      <c r="BC28" s="2">
        <f t="shared" si="20"/>
        <v>0</v>
      </c>
      <c r="BE28" s="43">
        <f t="shared" si="10"/>
        <v>0</v>
      </c>
      <c r="BG28" s="43">
        <f t="shared" si="11"/>
        <v>0</v>
      </c>
      <c r="BJ28" s="43">
        <f t="shared" si="12"/>
        <v>0</v>
      </c>
      <c r="BM28" s="83"/>
      <c r="BN28" s="43">
        <f t="shared" si="13"/>
        <v>0</v>
      </c>
      <c r="BP28" s="64">
        <f t="shared" si="14"/>
        <v>0</v>
      </c>
    </row>
    <row r="29" spans="1:68" x14ac:dyDescent="0.25">
      <c r="A29" s="150"/>
      <c r="B29" t="s">
        <v>65</v>
      </c>
      <c r="C29" s="2">
        <v>669</v>
      </c>
      <c r="D29" s="1">
        <v>23</v>
      </c>
      <c r="E29" s="1">
        <v>3</v>
      </c>
      <c r="F29" s="3">
        <f t="shared" si="28"/>
        <v>15387</v>
      </c>
      <c r="G29" s="3">
        <f t="shared" si="29"/>
        <v>1709.6666666666667</v>
      </c>
      <c r="H29" s="2">
        <f t="shared" si="30"/>
        <v>142.47222222222223</v>
      </c>
      <c r="I29" s="1">
        <v>110</v>
      </c>
      <c r="J29" s="1">
        <f t="shared" si="31"/>
        <v>290</v>
      </c>
      <c r="K29" s="1" t="s">
        <v>60</v>
      </c>
      <c r="O29" s="3"/>
      <c r="Q29" s="1">
        <v>1</v>
      </c>
      <c r="S29" s="47">
        <f t="shared" si="0"/>
        <v>46495.700000000004</v>
      </c>
      <c r="T29" s="192">
        <f t="shared" si="1"/>
        <v>6838.666666666667</v>
      </c>
      <c r="U29" s="47">
        <f t="shared" si="2"/>
        <v>0</v>
      </c>
      <c r="V29" s="47">
        <f t="shared" si="3"/>
        <v>0</v>
      </c>
      <c r="W29" s="47">
        <f t="shared" si="4"/>
        <v>0</v>
      </c>
      <c r="X29" s="43">
        <f t="shared" si="5"/>
        <v>0</v>
      </c>
      <c r="Y29" s="43">
        <f t="shared" si="6"/>
        <v>0</v>
      </c>
      <c r="Z29" s="43">
        <f t="shared" si="7"/>
        <v>0</v>
      </c>
      <c r="AA29" s="43">
        <f t="shared" si="19"/>
        <v>0</v>
      </c>
      <c r="AB29" s="133" t="s">
        <v>166</v>
      </c>
      <c r="AC29" s="133"/>
      <c r="AD29" s="133"/>
      <c r="AE29" s="133" t="s">
        <v>166</v>
      </c>
      <c r="AF29" s="133"/>
      <c r="AG29" s="133"/>
      <c r="AJ29" s="133" t="s">
        <v>166</v>
      </c>
      <c r="AK29" s="133"/>
      <c r="AL29" s="133"/>
      <c r="AS29" s="43">
        <f t="shared" si="8"/>
        <v>0</v>
      </c>
      <c r="AU29" s="43">
        <f t="shared" si="9"/>
        <v>0</v>
      </c>
      <c r="BC29" s="2">
        <f t="shared" si="20"/>
        <v>0</v>
      </c>
      <c r="BE29" s="43">
        <f t="shared" si="10"/>
        <v>0</v>
      </c>
      <c r="BG29" s="43">
        <f t="shared" si="11"/>
        <v>0</v>
      </c>
      <c r="BH29" s="47" t="s">
        <v>166</v>
      </c>
      <c r="BI29" s="2">
        <v>3</v>
      </c>
      <c r="BJ29" s="43">
        <f t="shared" si="12"/>
        <v>1431.9225000000001</v>
      </c>
      <c r="BM29" s="83"/>
      <c r="BN29" s="43">
        <f t="shared" si="13"/>
        <v>0</v>
      </c>
      <c r="BP29" s="64">
        <f t="shared" si="14"/>
        <v>0</v>
      </c>
    </row>
    <row r="30" spans="1:68" x14ac:dyDescent="0.25">
      <c r="A30" s="150"/>
      <c r="B30" t="s">
        <v>66</v>
      </c>
      <c r="C30" s="2">
        <v>1366</v>
      </c>
      <c r="D30" s="1">
        <v>20</v>
      </c>
      <c r="E30" s="1">
        <v>3</v>
      </c>
      <c r="F30" s="3">
        <f t="shared" si="28"/>
        <v>27320</v>
      </c>
      <c r="G30" s="3">
        <f t="shared" si="29"/>
        <v>3035.5555555555557</v>
      </c>
      <c r="H30" s="2">
        <f t="shared" si="30"/>
        <v>252.96296296296296</v>
      </c>
      <c r="I30" s="1">
        <v>110</v>
      </c>
      <c r="J30" s="1">
        <f t="shared" si="31"/>
        <v>510</v>
      </c>
      <c r="K30" s="1" t="s">
        <v>60</v>
      </c>
      <c r="L30" s="1">
        <v>7</v>
      </c>
      <c r="M30" s="1">
        <v>20</v>
      </c>
      <c r="N30" s="1">
        <f>L30 * M30</f>
        <v>140</v>
      </c>
      <c r="O30" s="3">
        <f>N30 / 9</f>
        <v>15.555555555555555</v>
      </c>
      <c r="Q30" s="1">
        <v>1</v>
      </c>
      <c r="S30" s="47">
        <f t="shared" si="0"/>
        <v>81768.3</v>
      </c>
      <c r="T30" s="192">
        <f t="shared" si="1"/>
        <v>12142.222222222223</v>
      </c>
      <c r="U30" s="47">
        <f t="shared" si="2"/>
        <v>2748.2</v>
      </c>
      <c r="V30" s="47">
        <f t="shared" si="3"/>
        <v>0</v>
      </c>
      <c r="W30" s="47">
        <f t="shared" si="4"/>
        <v>0</v>
      </c>
      <c r="X30" s="43">
        <f t="shared" si="5"/>
        <v>0</v>
      </c>
      <c r="Y30" s="43">
        <f t="shared" si="6"/>
        <v>0</v>
      </c>
      <c r="Z30" s="43">
        <f t="shared" si="7"/>
        <v>0</v>
      </c>
      <c r="AA30" s="43">
        <f t="shared" si="19"/>
        <v>0</v>
      </c>
      <c r="AB30" s="133" t="s">
        <v>166</v>
      </c>
      <c r="AC30" s="133"/>
      <c r="AD30" s="133"/>
      <c r="AE30" s="133" t="s">
        <v>166</v>
      </c>
      <c r="AF30" s="133"/>
      <c r="AG30" s="133"/>
      <c r="AJ30" s="133" t="s">
        <v>166</v>
      </c>
      <c r="AK30" s="133"/>
      <c r="AL30" s="133"/>
      <c r="AS30" s="43">
        <f t="shared" si="8"/>
        <v>0</v>
      </c>
      <c r="AU30" s="43">
        <f t="shared" si="9"/>
        <v>0</v>
      </c>
      <c r="BC30" s="2">
        <f t="shared" si="20"/>
        <v>0</v>
      </c>
      <c r="BE30" s="43">
        <f t="shared" si="10"/>
        <v>0</v>
      </c>
      <c r="BG30" s="43">
        <f t="shared" si="11"/>
        <v>0</v>
      </c>
      <c r="BJ30" s="43">
        <f t="shared" si="12"/>
        <v>0</v>
      </c>
      <c r="BM30" s="83"/>
      <c r="BN30" s="43">
        <f t="shared" si="13"/>
        <v>0</v>
      </c>
      <c r="BP30" s="64">
        <f t="shared" si="14"/>
        <v>0</v>
      </c>
    </row>
    <row r="31" spans="1:68" x14ac:dyDescent="0.25">
      <c r="A31" s="150"/>
      <c r="F31" s="3"/>
      <c r="G31" s="3"/>
      <c r="H31" s="2"/>
      <c r="L31" s="1">
        <v>13</v>
      </c>
      <c r="M31" s="1">
        <v>10</v>
      </c>
      <c r="N31" s="1">
        <f>L31 * M31</f>
        <v>130</v>
      </c>
      <c r="O31" s="3">
        <f>N31 / 9</f>
        <v>14.444444444444445</v>
      </c>
      <c r="S31" s="47">
        <f t="shared" si="0"/>
        <v>0</v>
      </c>
      <c r="T31" s="192">
        <f t="shared" si="1"/>
        <v>0</v>
      </c>
      <c r="U31" s="47">
        <f t="shared" si="2"/>
        <v>2551.8999999999996</v>
      </c>
      <c r="V31" s="47">
        <f t="shared" si="3"/>
        <v>0</v>
      </c>
      <c r="W31" s="47">
        <f t="shared" si="4"/>
        <v>0</v>
      </c>
      <c r="X31" s="43">
        <f t="shared" si="5"/>
        <v>0</v>
      </c>
      <c r="Y31" s="43">
        <f t="shared" si="6"/>
        <v>0</v>
      </c>
      <c r="Z31" s="43">
        <f t="shared" si="7"/>
        <v>0</v>
      </c>
      <c r="AA31" s="43">
        <f t="shared" si="19"/>
        <v>0</v>
      </c>
      <c r="AB31" s="133"/>
      <c r="AC31" s="133"/>
      <c r="AD31" s="133"/>
      <c r="AE31" s="133"/>
      <c r="AF31" s="133"/>
      <c r="AG31" s="133"/>
      <c r="AJ31" s="133"/>
      <c r="AK31" s="133"/>
      <c r="AL31" s="133"/>
      <c r="AS31" s="43">
        <f t="shared" si="8"/>
        <v>0</v>
      </c>
      <c r="AU31" s="43">
        <f t="shared" si="9"/>
        <v>0</v>
      </c>
      <c r="BC31" s="2">
        <f t="shared" si="20"/>
        <v>0</v>
      </c>
      <c r="BE31" s="43">
        <f t="shared" si="10"/>
        <v>0</v>
      </c>
      <c r="BG31" s="43">
        <f t="shared" si="11"/>
        <v>0</v>
      </c>
      <c r="BJ31" s="43">
        <f t="shared" si="12"/>
        <v>0</v>
      </c>
      <c r="BM31" s="83"/>
      <c r="BN31" s="43">
        <f t="shared" si="13"/>
        <v>0</v>
      </c>
      <c r="BP31" s="64">
        <f t="shared" si="14"/>
        <v>0</v>
      </c>
    </row>
    <row r="32" spans="1:68" x14ac:dyDescent="0.25">
      <c r="A32" s="150"/>
      <c r="B32" t="s">
        <v>67</v>
      </c>
      <c r="C32" s="2">
        <v>1366</v>
      </c>
      <c r="D32" s="1">
        <v>20</v>
      </c>
      <c r="E32" s="1">
        <v>3</v>
      </c>
      <c r="F32" s="3">
        <f t="shared" si="28"/>
        <v>27320</v>
      </c>
      <c r="G32" s="3">
        <f t="shared" si="29"/>
        <v>3035.5555555555557</v>
      </c>
      <c r="H32" s="2">
        <f t="shared" si="30"/>
        <v>252.96296296296296</v>
      </c>
      <c r="I32" s="1">
        <v>110</v>
      </c>
      <c r="J32" s="1">
        <f t="shared" si="31"/>
        <v>510</v>
      </c>
      <c r="K32" s="1" t="s">
        <v>60</v>
      </c>
      <c r="O32" s="3"/>
      <c r="Q32" s="1">
        <v>1</v>
      </c>
      <c r="S32" s="47">
        <f t="shared" si="0"/>
        <v>81768.3</v>
      </c>
      <c r="T32" s="192">
        <f t="shared" si="1"/>
        <v>12142.222222222223</v>
      </c>
      <c r="U32" s="47">
        <f t="shared" si="2"/>
        <v>0</v>
      </c>
      <c r="V32" s="47">
        <f t="shared" si="3"/>
        <v>0</v>
      </c>
      <c r="W32" s="47">
        <f t="shared" si="4"/>
        <v>0</v>
      </c>
      <c r="X32" s="43">
        <f t="shared" si="5"/>
        <v>0</v>
      </c>
      <c r="Y32" s="43">
        <f t="shared" si="6"/>
        <v>0</v>
      </c>
      <c r="Z32" s="43">
        <f t="shared" si="7"/>
        <v>0</v>
      </c>
      <c r="AA32" s="43">
        <f t="shared" si="19"/>
        <v>0</v>
      </c>
      <c r="AB32" s="133" t="s">
        <v>166</v>
      </c>
      <c r="AC32" s="133"/>
      <c r="AD32" s="133"/>
      <c r="AE32" s="133" t="s">
        <v>166</v>
      </c>
      <c r="AF32" s="133"/>
      <c r="AG32" s="133"/>
      <c r="AJ32" s="133" t="s">
        <v>166</v>
      </c>
      <c r="AK32" s="133"/>
      <c r="AL32" s="133"/>
      <c r="AS32" s="43">
        <f t="shared" si="8"/>
        <v>0</v>
      </c>
      <c r="AU32" s="43">
        <f t="shared" si="9"/>
        <v>0</v>
      </c>
      <c r="BC32" s="2">
        <f t="shared" si="20"/>
        <v>0</v>
      </c>
      <c r="BE32" s="43">
        <f t="shared" si="10"/>
        <v>0</v>
      </c>
      <c r="BG32" s="43">
        <f t="shared" si="11"/>
        <v>0</v>
      </c>
      <c r="BJ32" s="43">
        <f t="shared" si="12"/>
        <v>0</v>
      </c>
      <c r="BM32" s="83"/>
      <c r="BN32" s="43">
        <f t="shared" si="13"/>
        <v>0</v>
      </c>
      <c r="BP32" s="64">
        <f t="shared" si="14"/>
        <v>0</v>
      </c>
    </row>
    <row r="33" spans="1:68" x14ac:dyDescent="0.25">
      <c r="A33" s="150"/>
      <c r="B33" t="s">
        <v>68</v>
      </c>
      <c r="C33" s="2">
        <v>263</v>
      </c>
      <c r="D33" s="1">
        <v>20</v>
      </c>
      <c r="E33" s="1">
        <v>3</v>
      </c>
      <c r="F33" s="3">
        <f t="shared" si="28"/>
        <v>5260</v>
      </c>
      <c r="G33" s="3">
        <f t="shared" si="29"/>
        <v>584.44444444444446</v>
      </c>
      <c r="H33" s="2">
        <f t="shared" si="30"/>
        <v>48.703703703703702</v>
      </c>
      <c r="I33" s="1">
        <v>110</v>
      </c>
      <c r="J33" s="1">
        <f t="shared" si="31"/>
        <v>100</v>
      </c>
      <c r="K33" s="1" t="s">
        <v>60</v>
      </c>
      <c r="O33" s="3"/>
      <c r="Q33" s="1">
        <v>1</v>
      </c>
      <c r="S33" s="47">
        <f t="shared" si="0"/>
        <v>16033.000000000002</v>
      </c>
      <c r="T33" s="192">
        <f t="shared" si="1"/>
        <v>2337.7777777777778</v>
      </c>
      <c r="U33" s="47">
        <f t="shared" si="2"/>
        <v>0</v>
      </c>
      <c r="V33" s="47">
        <f t="shared" si="3"/>
        <v>0</v>
      </c>
      <c r="W33" s="47">
        <f t="shared" si="4"/>
        <v>0</v>
      </c>
      <c r="X33" s="43">
        <f t="shared" si="5"/>
        <v>0</v>
      </c>
      <c r="Y33" s="43">
        <f t="shared" si="6"/>
        <v>0</v>
      </c>
      <c r="Z33" s="43">
        <f t="shared" si="7"/>
        <v>0</v>
      </c>
      <c r="AA33" s="43">
        <f t="shared" si="19"/>
        <v>0</v>
      </c>
      <c r="AB33" s="133" t="s">
        <v>166</v>
      </c>
      <c r="AC33" s="133"/>
      <c r="AD33" s="133"/>
      <c r="AE33" s="133" t="s">
        <v>166</v>
      </c>
      <c r="AF33" s="133"/>
      <c r="AG33" s="133"/>
      <c r="AJ33" s="133" t="s">
        <v>166</v>
      </c>
      <c r="AK33" s="133"/>
      <c r="AL33" s="133"/>
      <c r="AS33" s="43">
        <f t="shared" si="8"/>
        <v>0</v>
      </c>
      <c r="AU33" s="43">
        <f t="shared" si="9"/>
        <v>0</v>
      </c>
      <c r="BC33" s="2">
        <f t="shared" si="20"/>
        <v>0</v>
      </c>
      <c r="BE33" s="43">
        <f t="shared" si="10"/>
        <v>0</v>
      </c>
      <c r="BG33" s="43">
        <f t="shared" si="11"/>
        <v>0</v>
      </c>
      <c r="BJ33" s="43">
        <f t="shared" si="12"/>
        <v>0</v>
      </c>
      <c r="BM33" s="83"/>
      <c r="BN33" s="43">
        <f t="shared" si="13"/>
        <v>0</v>
      </c>
      <c r="BP33" s="64">
        <f t="shared" si="14"/>
        <v>0</v>
      </c>
    </row>
    <row r="34" spans="1:68" x14ac:dyDescent="0.25">
      <c r="A34" s="150"/>
      <c r="B34" s="9" t="s">
        <v>77</v>
      </c>
      <c r="C34" s="2">
        <v>264</v>
      </c>
      <c r="D34" s="1">
        <v>20</v>
      </c>
      <c r="E34" s="1">
        <v>3</v>
      </c>
      <c r="F34" s="3">
        <f t="shared" si="28"/>
        <v>5280</v>
      </c>
      <c r="G34" s="3">
        <f t="shared" si="29"/>
        <v>586.66666666666663</v>
      </c>
      <c r="H34" s="2">
        <f t="shared" si="30"/>
        <v>48.888888888888886</v>
      </c>
      <c r="I34" s="1">
        <v>110</v>
      </c>
      <c r="J34" s="1">
        <f t="shared" si="31"/>
        <v>100</v>
      </c>
      <c r="K34" s="1" t="s">
        <v>60</v>
      </c>
      <c r="L34" s="1">
        <v>12</v>
      </c>
      <c r="M34" s="1">
        <v>20</v>
      </c>
      <c r="N34" s="1">
        <f>L34 * M34</f>
        <v>240</v>
      </c>
      <c r="O34" s="3">
        <f>N34 / 9</f>
        <v>26.666666666666668</v>
      </c>
      <c r="Q34" s="1">
        <v>1</v>
      </c>
      <c r="S34" s="47">
        <f t="shared" si="0"/>
        <v>16033.000000000002</v>
      </c>
      <c r="T34" s="192">
        <f t="shared" si="1"/>
        <v>2346.6666666666665</v>
      </c>
      <c r="U34" s="47">
        <f t="shared" si="2"/>
        <v>4711.2</v>
      </c>
      <c r="V34" s="47">
        <f t="shared" si="3"/>
        <v>0</v>
      </c>
      <c r="W34" s="47">
        <f t="shared" si="4"/>
        <v>0</v>
      </c>
      <c r="X34" s="43">
        <f t="shared" si="5"/>
        <v>0</v>
      </c>
      <c r="Y34" s="43">
        <f t="shared" si="6"/>
        <v>0</v>
      </c>
      <c r="Z34" s="43">
        <f t="shared" si="7"/>
        <v>0</v>
      </c>
      <c r="AA34" s="43">
        <f t="shared" si="19"/>
        <v>0</v>
      </c>
      <c r="AB34" s="133" t="s">
        <v>166</v>
      </c>
      <c r="AC34" s="133"/>
      <c r="AD34" s="133"/>
      <c r="AE34" s="133" t="s">
        <v>166</v>
      </c>
      <c r="AF34" s="133"/>
      <c r="AG34" s="133"/>
      <c r="AJ34" s="133" t="s">
        <v>166</v>
      </c>
      <c r="AK34" s="133"/>
      <c r="AL34" s="133"/>
      <c r="AS34" s="43">
        <f t="shared" si="8"/>
        <v>0</v>
      </c>
      <c r="AU34" s="43">
        <f t="shared" si="9"/>
        <v>0</v>
      </c>
      <c r="BC34" s="2">
        <f t="shared" si="20"/>
        <v>0</v>
      </c>
      <c r="BE34" s="43">
        <f t="shared" si="10"/>
        <v>0</v>
      </c>
      <c r="BG34" s="43">
        <f t="shared" si="11"/>
        <v>0</v>
      </c>
      <c r="BJ34" s="43">
        <f t="shared" si="12"/>
        <v>0</v>
      </c>
      <c r="BM34" s="83"/>
      <c r="BN34" s="43">
        <f t="shared" si="13"/>
        <v>0</v>
      </c>
      <c r="BP34" s="64">
        <f t="shared" si="14"/>
        <v>0</v>
      </c>
    </row>
    <row r="35" spans="1:68" x14ac:dyDescent="0.25">
      <c r="A35" s="150"/>
      <c r="B35" t="s">
        <v>114</v>
      </c>
      <c r="C35" s="2">
        <v>311</v>
      </c>
      <c r="D35" s="1">
        <v>23</v>
      </c>
      <c r="E35" s="1">
        <v>3</v>
      </c>
      <c r="F35" s="3">
        <f t="shared" si="28"/>
        <v>7153</v>
      </c>
      <c r="G35" s="3">
        <f t="shared" si="29"/>
        <v>794.77777777777783</v>
      </c>
      <c r="H35" s="2">
        <f t="shared" si="30"/>
        <v>66.231481481481481</v>
      </c>
      <c r="I35" s="1">
        <v>110</v>
      </c>
      <c r="J35" s="1">
        <f t="shared" si="31"/>
        <v>140</v>
      </c>
      <c r="K35" s="1" t="s">
        <v>60</v>
      </c>
      <c r="O35" s="3"/>
      <c r="Q35" s="1">
        <v>1</v>
      </c>
      <c r="S35" s="47">
        <f t="shared" si="0"/>
        <v>22446.2</v>
      </c>
      <c r="T35" s="192">
        <f t="shared" si="1"/>
        <v>3179.1111111111113</v>
      </c>
      <c r="U35" s="47">
        <f t="shared" si="2"/>
        <v>0</v>
      </c>
      <c r="V35" s="47">
        <f t="shared" si="3"/>
        <v>0</v>
      </c>
      <c r="W35" s="47">
        <f t="shared" si="4"/>
        <v>0</v>
      </c>
      <c r="X35" s="43">
        <f t="shared" si="5"/>
        <v>0</v>
      </c>
      <c r="Y35" s="43">
        <f t="shared" si="6"/>
        <v>0</v>
      </c>
      <c r="Z35" s="43">
        <f t="shared" si="7"/>
        <v>0</v>
      </c>
      <c r="AA35" s="43">
        <f t="shared" si="19"/>
        <v>0</v>
      </c>
      <c r="AB35" s="133" t="s">
        <v>166</v>
      </c>
      <c r="AC35" s="133"/>
      <c r="AD35" s="133"/>
      <c r="AE35" s="133" t="s">
        <v>166</v>
      </c>
      <c r="AF35" s="133"/>
      <c r="AG35" s="133"/>
      <c r="AJ35" s="133" t="s">
        <v>166</v>
      </c>
      <c r="AK35" s="133"/>
      <c r="AL35" s="133"/>
      <c r="AS35" s="43">
        <f t="shared" si="8"/>
        <v>0</v>
      </c>
      <c r="AU35" s="43">
        <f t="shared" si="9"/>
        <v>0</v>
      </c>
      <c r="BC35" s="2">
        <f t="shared" si="20"/>
        <v>0</v>
      </c>
      <c r="BE35" s="43">
        <f t="shared" si="10"/>
        <v>0</v>
      </c>
      <c r="BG35" s="43">
        <f t="shared" si="11"/>
        <v>0</v>
      </c>
      <c r="BH35" s="47" t="s">
        <v>166</v>
      </c>
      <c r="BI35" s="2">
        <v>2</v>
      </c>
      <c r="BJ35" s="43">
        <f t="shared" si="12"/>
        <v>954.61500000000001</v>
      </c>
      <c r="BM35" s="83"/>
      <c r="BN35" s="43">
        <f t="shared" si="13"/>
        <v>0</v>
      </c>
      <c r="BP35" s="64">
        <f t="shared" si="14"/>
        <v>0</v>
      </c>
    </row>
    <row r="36" spans="1:68" x14ac:dyDescent="0.25">
      <c r="A36" s="150"/>
      <c r="B36" t="s">
        <v>111</v>
      </c>
      <c r="C36" s="2">
        <v>261</v>
      </c>
      <c r="D36" s="1">
        <v>23</v>
      </c>
      <c r="E36" s="1">
        <v>3</v>
      </c>
      <c r="F36" s="3">
        <f>C36*D36</f>
        <v>6003</v>
      </c>
      <c r="G36" s="3">
        <f>F36/9</f>
        <v>667</v>
      </c>
      <c r="H36" s="2">
        <f xml:space="preserve"> (G36* (E36 / 36))</f>
        <v>55.583333333333329</v>
      </c>
      <c r="I36" s="1">
        <v>110</v>
      </c>
      <c r="J36" s="1">
        <f xml:space="preserve"> ROUNDUP(((I36 * E36 * G36)/2000), -1)</f>
        <v>120</v>
      </c>
      <c r="K36" s="1" t="s">
        <v>60</v>
      </c>
      <c r="O36" s="3"/>
      <c r="Q36" s="1">
        <v>1</v>
      </c>
      <c r="S36" s="47">
        <f t="shared" si="0"/>
        <v>19239.600000000002</v>
      </c>
      <c r="T36" s="192">
        <f t="shared" si="1"/>
        <v>2668</v>
      </c>
      <c r="U36" s="47">
        <f t="shared" si="2"/>
        <v>0</v>
      </c>
      <c r="V36" s="47">
        <f t="shared" si="3"/>
        <v>0</v>
      </c>
      <c r="W36" s="47">
        <f t="shared" si="4"/>
        <v>0</v>
      </c>
      <c r="X36" s="43">
        <f t="shared" si="5"/>
        <v>0</v>
      </c>
      <c r="Y36" s="43">
        <f t="shared" si="6"/>
        <v>0</v>
      </c>
      <c r="Z36" s="43">
        <f t="shared" si="7"/>
        <v>0</v>
      </c>
      <c r="AA36" s="43">
        <f t="shared" si="19"/>
        <v>0</v>
      </c>
      <c r="AB36" s="133"/>
      <c r="AC36" s="133"/>
      <c r="AD36" s="133"/>
      <c r="AE36" s="133"/>
      <c r="AF36" s="133"/>
      <c r="AG36" s="133"/>
      <c r="AJ36" s="133"/>
      <c r="AK36" s="133"/>
      <c r="AL36" s="133"/>
      <c r="AS36" s="43">
        <f t="shared" si="8"/>
        <v>0</v>
      </c>
      <c r="AU36" s="43">
        <f t="shared" si="9"/>
        <v>0</v>
      </c>
      <c r="BC36" s="2">
        <f t="shared" si="20"/>
        <v>0</v>
      </c>
      <c r="BE36" s="43">
        <f t="shared" si="10"/>
        <v>0</v>
      </c>
      <c r="BG36" s="43">
        <f t="shared" si="11"/>
        <v>0</v>
      </c>
      <c r="BH36" s="47" t="s">
        <v>166</v>
      </c>
      <c r="BI36" s="2">
        <v>1</v>
      </c>
      <c r="BJ36" s="43">
        <f t="shared" si="12"/>
        <v>477.3075</v>
      </c>
      <c r="BM36" s="83"/>
      <c r="BN36" s="43">
        <f t="shared" si="13"/>
        <v>0</v>
      </c>
      <c r="BP36" s="64">
        <f t="shared" si="14"/>
        <v>0</v>
      </c>
    </row>
    <row r="37" spans="1:68" x14ac:dyDescent="0.25">
      <c r="A37" s="150"/>
      <c r="B37" t="s">
        <v>69</v>
      </c>
      <c r="C37" s="2">
        <v>938</v>
      </c>
      <c r="D37" s="1">
        <v>23</v>
      </c>
      <c r="E37" s="1">
        <v>3</v>
      </c>
      <c r="F37" s="3">
        <f t="shared" si="28"/>
        <v>21574</v>
      </c>
      <c r="G37" s="3">
        <f t="shared" si="29"/>
        <v>2397.1111111111113</v>
      </c>
      <c r="H37" s="2">
        <f t="shared" si="30"/>
        <v>199.75925925925927</v>
      </c>
      <c r="I37" s="1">
        <v>110</v>
      </c>
      <c r="J37" s="1">
        <f t="shared" si="31"/>
        <v>400</v>
      </c>
      <c r="K37" s="1" t="s">
        <v>60</v>
      </c>
      <c r="O37" s="3"/>
      <c r="Q37" s="1">
        <v>1</v>
      </c>
      <c r="S37" s="47">
        <f t="shared" si="0"/>
        <v>64132.000000000007</v>
      </c>
      <c r="T37" s="192">
        <f t="shared" si="1"/>
        <v>9588.4444444444453</v>
      </c>
      <c r="U37" s="47">
        <f t="shared" si="2"/>
        <v>0</v>
      </c>
      <c r="V37" s="47">
        <f t="shared" si="3"/>
        <v>0</v>
      </c>
      <c r="W37" s="47">
        <f t="shared" si="4"/>
        <v>0</v>
      </c>
      <c r="X37" s="43">
        <f t="shared" si="5"/>
        <v>0</v>
      </c>
      <c r="Y37" s="43">
        <f t="shared" si="6"/>
        <v>0</v>
      </c>
      <c r="Z37" s="43">
        <f t="shared" si="7"/>
        <v>0</v>
      </c>
      <c r="AA37" s="43">
        <f t="shared" si="19"/>
        <v>0</v>
      </c>
      <c r="AB37" s="133"/>
      <c r="AC37" s="133"/>
      <c r="AD37" s="133"/>
      <c r="AE37" s="133"/>
      <c r="AF37" s="133"/>
      <c r="AG37" s="133"/>
      <c r="AJ37" s="133"/>
      <c r="AK37" s="133"/>
      <c r="AL37" s="133"/>
      <c r="AS37" s="43">
        <f t="shared" si="8"/>
        <v>0</v>
      </c>
      <c r="AU37" s="43">
        <f t="shared" si="9"/>
        <v>0</v>
      </c>
      <c r="BC37" s="2">
        <f t="shared" si="20"/>
        <v>0</v>
      </c>
      <c r="BE37" s="43">
        <f t="shared" si="10"/>
        <v>0</v>
      </c>
      <c r="BG37" s="43">
        <f t="shared" si="11"/>
        <v>0</v>
      </c>
      <c r="BH37" s="47" t="s">
        <v>166</v>
      </c>
      <c r="BI37" s="2">
        <v>2</v>
      </c>
      <c r="BJ37" s="43">
        <f t="shared" si="12"/>
        <v>954.61500000000001</v>
      </c>
      <c r="BM37" s="83"/>
      <c r="BN37" s="43">
        <f t="shared" si="13"/>
        <v>0</v>
      </c>
      <c r="BP37" s="64">
        <f t="shared" si="14"/>
        <v>0</v>
      </c>
    </row>
    <row r="38" spans="1:68" x14ac:dyDescent="0.25">
      <c r="A38" s="150"/>
      <c r="B38" t="s">
        <v>70</v>
      </c>
      <c r="C38" s="2">
        <v>1101</v>
      </c>
      <c r="D38" s="1">
        <v>23</v>
      </c>
      <c r="E38" s="1">
        <v>3</v>
      </c>
      <c r="F38" s="3">
        <f t="shared" si="28"/>
        <v>25323</v>
      </c>
      <c r="G38" s="3">
        <f t="shared" si="29"/>
        <v>2813.6666666666665</v>
      </c>
      <c r="H38" s="2">
        <f t="shared" si="30"/>
        <v>234.4722222222222</v>
      </c>
      <c r="I38" s="1">
        <v>110</v>
      </c>
      <c r="J38" s="1">
        <f t="shared" si="31"/>
        <v>470</v>
      </c>
      <c r="K38" s="1" t="s">
        <v>60</v>
      </c>
      <c r="O38" s="3"/>
      <c r="Q38" s="1">
        <v>1</v>
      </c>
      <c r="S38" s="47">
        <f t="shared" si="0"/>
        <v>75355.100000000006</v>
      </c>
      <c r="T38" s="192">
        <f t="shared" si="1"/>
        <v>11254.666666666666</v>
      </c>
      <c r="U38" s="47">
        <f t="shared" si="2"/>
        <v>0</v>
      </c>
      <c r="V38" s="47">
        <f t="shared" si="3"/>
        <v>0</v>
      </c>
      <c r="W38" s="47">
        <f t="shared" si="4"/>
        <v>0</v>
      </c>
      <c r="X38" s="43">
        <f t="shared" si="5"/>
        <v>0</v>
      </c>
      <c r="Y38" s="43">
        <f t="shared" si="6"/>
        <v>0</v>
      </c>
      <c r="Z38" s="43">
        <f t="shared" si="7"/>
        <v>0</v>
      </c>
      <c r="AA38" s="43">
        <f t="shared" si="19"/>
        <v>0</v>
      </c>
      <c r="AB38" s="133"/>
      <c r="AC38" s="133"/>
      <c r="AD38" s="133"/>
      <c r="AE38" s="133"/>
      <c r="AF38" s="133"/>
      <c r="AG38" s="133"/>
      <c r="AJ38" s="133"/>
      <c r="AK38" s="133"/>
      <c r="AL38" s="133"/>
      <c r="AS38" s="43">
        <f t="shared" si="8"/>
        <v>0</v>
      </c>
      <c r="AU38" s="43">
        <f t="shared" si="9"/>
        <v>0</v>
      </c>
      <c r="BC38" s="2">
        <f t="shared" si="20"/>
        <v>0</v>
      </c>
      <c r="BE38" s="43">
        <f t="shared" si="10"/>
        <v>0</v>
      </c>
      <c r="BG38" s="43">
        <f t="shared" si="11"/>
        <v>0</v>
      </c>
      <c r="BH38" s="47" t="s">
        <v>166</v>
      </c>
      <c r="BI38" s="2">
        <v>1</v>
      </c>
      <c r="BJ38" s="43">
        <f t="shared" si="12"/>
        <v>477.3075</v>
      </c>
      <c r="BM38" s="83"/>
      <c r="BN38" s="43">
        <f t="shared" si="13"/>
        <v>0</v>
      </c>
      <c r="BP38" s="64">
        <f t="shared" si="14"/>
        <v>0</v>
      </c>
    </row>
    <row r="39" spans="1:68" x14ac:dyDescent="0.25">
      <c r="A39" s="150"/>
      <c r="B39" t="s">
        <v>71</v>
      </c>
      <c r="C39" s="2">
        <v>576</v>
      </c>
      <c r="D39" s="1">
        <v>23</v>
      </c>
      <c r="E39" s="1">
        <v>3</v>
      </c>
      <c r="F39" s="3">
        <f t="shared" si="28"/>
        <v>13248</v>
      </c>
      <c r="G39" s="3">
        <f t="shared" si="29"/>
        <v>1472</v>
      </c>
      <c r="H39" s="2">
        <f t="shared" si="30"/>
        <v>122.66666666666666</v>
      </c>
      <c r="I39" s="1">
        <v>110</v>
      </c>
      <c r="J39" s="1">
        <f t="shared" si="31"/>
        <v>250</v>
      </c>
      <c r="K39" s="1" t="s">
        <v>60</v>
      </c>
      <c r="O39" s="3"/>
      <c r="Q39" s="1">
        <v>1</v>
      </c>
      <c r="S39" s="47">
        <f t="shared" si="0"/>
        <v>40082.5</v>
      </c>
      <c r="T39" s="192">
        <f t="shared" si="1"/>
        <v>5888</v>
      </c>
      <c r="U39" s="47">
        <f t="shared" si="2"/>
        <v>0</v>
      </c>
      <c r="V39" s="47">
        <f t="shared" si="3"/>
        <v>0</v>
      </c>
      <c r="W39" s="47">
        <f t="shared" si="4"/>
        <v>0</v>
      </c>
      <c r="X39" s="43">
        <f t="shared" si="5"/>
        <v>0</v>
      </c>
      <c r="Y39" s="43">
        <f t="shared" si="6"/>
        <v>0</v>
      </c>
      <c r="Z39" s="43">
        <f t="shared" si="7"/>
        <v>0</v>
      </c>
      <c r="AA39" s="43">
        <f t="shared" si="19"/>
        <v>0</v>
      </c>
      <c r="AB39" s="133"/>
      <c r="AC39" s="133"/>
      <c r="AD39" s="133"/>
      <c r="AE39" s="133"/>
      <c r="AF39" s="133"/>
      <c r="AG39" s="133"/>
      <c r="AJ39" s="133"/>
      <c r="AK39" s="133"/>
      <c r="AL39" s="133"/>
      <c r="AS39" s="43">
        <f t="shared" si="8"/>
        <v>0</v>
      </c>
      <c r="AU39" s="43">
        <f t="shared" si="9"/>
        <v>0</v>
      </c>
      <c r="BC39" s="2">
        <f t="shared" si="20"/>
        <v>0</v>
      </c>
      <c r="BE39" s="43">
        <f t="shared" si="10"/>
        <v>0</v>
      </c>
      <c r="BG39" s="43">
        <f t="shared" si="11"/>
        <v>0</v>
      </c>
      <c r="BH39" s="47" t="s">
        <v>166</v>
      </c>
      <c r="BI39" s="2">
        <v>2</v>
      </c>
      <c r="BJ39" s="43">
        <f t="shared" si="12"/>
        <v>954.61500000000001</v>
      </c>
      <c r="BM39" s="83"/>
      <c r="BN39" s="43">
        <f t="shared" si="13"/>
        <v>0</v>
      </c>
      <c r="BP39" s="64">
        <f t="shared" si="14"/>
        <v>0</v>
      </c>
    </row>
    <row r="40" spans="1:68" x14ac:dyDescent="0.25">
      <c r="A40" s="150"/>
      <c r="B40" t="s">
        <v>72</v>
      </c>
      <c r="C40" s="2">
        <v>582</v>
      </c>
      <c r="D40" s="1">
        <v>23</v>
      </c>
      <c r="E40" s="1">
        <v>3</v>
      </c>
      <c r="F40" s="3">
        <f t="shared" si="28"/>
        <v>13386</v>
      </c>
      <c r="G40" s="3">
        <f t="shared" si="29"/>
        <v>1487.3333333333333</v>
      </c>
      <c r="H40" s="2">
        <f t="shared" si="30"/>
        <v>123.94444444444443</v>
      </c>
      <c r="I40" s="1">
        <v>110</v>
      </c>
      <c r="J40" s="1">
        <f t="shared" si="31"/>
        <v>250</v>
      </c>
      <c r="K40" s="1" t="s">
        <v>60</v>
      </c>
      <c r="O40" s="3"/>
      <c r="Q40" s="1">
        <v>1</v>
      </c>
      <c r="S40" s="47">
        <f t="shared" si="0"/>
        <v>40082.5</v>
      </c>
      <c r="T40" s="192">
        <f t="shared" si="1"/>
        <v>5949.333333333333</v>
      </c>
      <c r="U40" s="47">
        <f t="shared" si="2"/>
        <v>0</v>
      </c>
      <c r="V40" s="47">
        <f t="shared" si="3"/>
        <v>0</v>
      </c>
      <c r="W40" s="47">
        <f t="shared" si="4"/>
        <v>0</v>
      </c>
      <c r="X40" s="43">
        <f t="shared" si="5"/>
        <v>0</v>
      </c>
      <c r="Y40" s="43">
        <f t="shared" si="6"/>
        <v>0</v>
      </c>
      <c r="Z40" s="43">
        <f t="shared" si="7"/>
        <v>0</v>
      </c>
      <c r="AA40" s="43">
        <f t="shared" si="19"/>
        <v>0</v>
      </c>
      <c r="AB40" s="133"/>
      <c r="AC40" s="133"/>
      <c r="AD40" s="133"/>
      <c r="AE40" s="133"/>
      <c r="AF40" s="133"/>
      <c r="AG40" s="133"/>
      <c r="AJ40" s="133"/>
      <c r="AK40" s="133"/>
      <c r="AL40" s="133"/>
      <c r="AS40" s="43">
        <f t="shared" si="8"/>
        <v>0</v>
      </c>
      <c r="AU40" s="43">
        <f t="shared" si="9"/>
        <v>0</v>
      </c>
      <c r="BC40" s="2">
        <f t="shared" si="20"/>
        <v>0</v>
      </c>
      <c r="BE40" s="43">
        <f t="shared" si="10"/>
        <v>0</v>
      </c>
      <c r="BG40" s="43">
        <f t="shared" si="11"/>
        <v>0</v>
      </c>
      <c r="BJ40" s="43">
        <f t="shared" si="12"/>
        <v>0</v>
      </c>
      <c r="BM40" s="83"/>
      <c r="BN40" s="43">
        <f t="shared" si="13"/>
        <v>0</v>
      </c>
      <c r="BP40" s="64">
        <f t="shared" si="14"/>
        <v>0</v>
      </c>
    </row>
    <row r="41" spans="1:68" x14ac:dyDescent="0.25">
      <c r="A41" s="150"/>
      <c r="B41" t="s">
        <v>73</v>
      </c>
      <c r="C41" s="2">
        <v>1030</v>
      </c>
      <c r="D41" s="1">
        <v>23</v>
      </c>
      <c r="E41" s="1">
        <v>3</v>
      </c>
      <c r="F41" s="3">
        <f t="shared" si="28"/>
        <v>23690</v>
      </c>
      <c r="G41" s="3">
        <f t="shared" si="29"/>
        <v>2632.2222222222222</v>
      </c>
      <c r="H41" s="2">
        <f t="shared" si="30"/>
        <v>219.35185185185185</v>
      </c>
      <c r="I41" s="1">
        <v>110</v>
      </c>
      <c r="J41" s="1">
        <f t="shared" si="31"/>
        <v>440</v>
      </c>
      <c r="K41" s="1" t="s">
        <v>60</v>
      </c>
      <c r="O41" s="3"/>
      <c r="Q41" s="1">
        <v>1</v>
      </c>
      <c r="S41" s="47">
        <f t="shared" si="0"/>
        <v>70545.200000000012</v>
      </c>
      <c r="T41" s="192">
        <f t="shared" si="1"/>
        <v>10528.888888888889</v>
      </c>
      <c r="U41" s="47">
        <f t="shared" si="2"/>
        <v>0</v>
      </c>
      <c r="V41" s="47">
        <f t="shared" si="3"/>
        <v>0</v>
      </c>
      <c r="W41" s="47">
        <f t="shared" si="4"/>
        <v>0</v>
      </c>
      <c r="X41" s="43">
        <f t="shared" si="5"/>
        <v>0</v>
      </c>
      <c r="Y41" s="43">
        <f t="shared" si="6"/>
        <v>0</v>
      </c>
      <c r="Z41" s="43">
        <f t="shared" si="7"/>
        <v>0</v>
      </c>
      <c r="AA41" s="43">
        <f t="shared" si="19"/>
        <v>0</v>
      </c>
      <c r="AB41" s="133"/>
      <c r="AC41" s="133"/>
      <c r="AD41" s="133"/>
      <c r="AE41" s="133"/>
      <c r="AF41" s="133"/>
      <c r="AG41" s="133"/>
      <c r="AJ41" s="133"/>
      <c r="AK41" s="133"/>
      <c r="AL41" s="133"/>
      <c r="AS41" s="43">
        <f t="shared" si="8"/>
        <v>0</v>
      </c>
      <c r="AU41" s="43">
        <f t="shared" si="9"/>
        <v>0</v>
      </c>
      <c r="BC41" s="2">
        <f t="shared" si="20"/>
        <v>0</v>
      </c>
      <c r="BE41" s="43">
        <f t="shared" si="10"/>
        <v>0</v>
      </c>
      <c r="BG41" s="43">
        <f t="shared" si="11"/>
        <v>0</v>
      </c>
      <c r="BH41" s="47" t="s">
        <v>166</v>
      </c>
      <c r="BI41" s="2">
        <v>1</v>
      </c>
      <c r="BJ41" s="43">
        <f t="shared" si="12"/>
        <v>477.3075</v>
      </c>
      <c r="BM41" s="83"/>
      <c r="BN41" s="43">
        <f t="shared" si="13"/>
        <v>0</v>
      </c>
      <c r="BP41" s="64">
        <f t="shared" si="14"/>
        <v>0</v>
      </c>
    </row>
    <row r="42" spans="1:68" x14ac:dyDescent="0.25">
      <c r="A42" s="150"/>
      <c r="B42" t="s">
        <v>83</v>
      </c>
      <c r="C42" s="2">
        <v>791</v>
      </c>
      <c r="D42" s="1">
        <v>20</v>
      </c>
      <c r="E42" s="1">
        <v>3</v>
      </c>
      <c r="F42" s="3">
        <f t="shared" si="28"/>
        <v>15820</v>
      </c>
      <c r="G42" s="3">
        <f t="shared" si="29"/>
        <v>1757.7777777777778</v>
      </c>
      <c r="H42" s="2">
        <f t="shared" si="30"/>
        <v>146.48148148148147</v>
      </c>
      <c r="I42" s="1">
        <v>110</v>
      </c>
      <c r="J42" s="1">
        <f t="shared" ref="J42:J46" si="32" xml:space="preserve"> ROUNDUP(((I42 * E42 * G42)/2000), -1)</f>
        <v>300</v>
      </c>
      <c r="K42" s="1" t="s">
        <v>61</v>
      </c>
      <c r="O42" s="3"/>
      <c r="S42" s="47">
        <f t="shared" si="0"/>
        <v>48099.000000000007</v>
      </c>
      <c r="T42" s="192">
        <f t="shared" si="1"/>
        <v>0</v>
      </c>
      <c r="U42" s="47">
        <f t="shared" si="2"/>
        <v>0</v>
      </c>
      <c r="V42" s="47">
        <f t="shared" si="3"/>
        <v>0</v>
      </c>
      <c r="W42" s="47">
        <f t="shared" si="4"/>
        <v>17806.288888888892</v>
      </c>
      <c r="X42" s="43">
        <f t="shared" si="5"/>
        <v>25048.333333333336</v>
      </c>
      <c r="Y42" s="43">
        <f t="shared" si="6"/>
        <v>29934.95555555556</v>
      </c>
      <c r="Z42" s="43">
        <f t="shared" si="7"/>
        <v>12005.622222222222</v>
      </c>
      <c r="AA42" s="43">
        <f t="shared" si="19"/>
        <v>813.7712121212121</v>
      </c>
      <c r="AB42" s="133"/>
      <c r="AC42" s="133"/>
      <c r="AD42" s="133"/>
      <c r="AE42" s="133"/>
      <c r="AF42" s="133"/>
      <c r="AG42" s="133"/>
      <c r="AI42" s="47" t="s">
        <v>166</v>
      </c>
      <c r="AJ42" s="133" t="s">
        <v>166</v>
      </c>
      <c r="AK42" s="133"/>
      <c r="AL42" s="133"/>
      <c r="AS42" s="43">
        <f t="shared" si="8"/>
        <v>0</v>
      </c>
      <c r="AU42" s="43">
        <f t="shared" si="9"/>
        <v>0</v>
      </c>
      <c r="BC42" s="2">
        <f t="shared" si="20"/>
        <v>0</v>
      </c>
      <c r="BE42" s="43">
        <f t="shared" si="10"/>
        <v>0</v>
      </c>
      <c r="BG42" s="43">
        <f t="shared" si="11"/>
        <v>0</v>
      </c>
      <c r="BH42" s="47" t="s">
        <v>166</v>
      </c>
      <c r="BI42" s="2">
        <v>1</v>
      </c>
      <c r="BJ42" s="43">
        <f t="shared" si="12"/>
        <v>415.05</v>
      </c>
      <c r="BM42" s="2">
        <v>1</v>
      </c>
      <c r="BN42" s="43">
        <f t="shared" si="13"/>
        <v>5741.1111111111113</v>
      </c>
      <c r="BP42" s="64">
        <f t="shared" si="14"/>
        <v>0</v>
      </c>
    </row>
    <row r="43" spans="1:68" x14ac:dyDescent="0.25">
      <c r="A43" s="150"/>
      <c r="B43" t="s">
        <v>84</v>
      </c>
      <c r="C43" s="2">
        <v>1123</v>
      </c>
      <c r="D43" s="1">
        <v>20</v>
      </c>
      <c r="E43" s="1">
        <v>3</v>
      </c>
      <c r="F43" s="3">
        <f t="shared" si="28"/>
        <v>22460</v>
      </c>
      <c r="G43" s="3">
        <f t="shared" si="29"/>
        <v>2495.5555555555557</v>
      </c>
      <c r="H43" s="2">
        <f t="shared" si="30"/>
        <v>207.96296296296296</v>
      </c>
      <c r="I43" s="1">
        <v>110</v>
      </c>
      <c r="J43" s="1">
        <f t="shared" si="32"/>
        <v>420</v>
      </c>
      <c r="K43" s="1" t="s">
        <v>61</v>
      </c>
      <c r="O43" s="3"/>
      <c r="S43" s="47">
        <f t="shared" si="0"/>
        <v>67338.600000000006</v>
      </c>
      <c r="T43" s="192">
        <f t="shared" si="1"/>
        <v>0</v>
      </c>
      <c r="U43" s="47">
        <f t="shared" si="2"/>
        <v>0</v>
      </c>
      <c r="V43" s="47">
        <f t="shared" si="3"/>
        <v>0</v>
      </c>
      <c r="W43" s="47">
        <f t="shared" si="4"/>
        <v>25279.977777777782</v>
      </c>
      <c r="X43" s="43">
        <f t="shared" si="5"/>
        <v>35561.666666666672</v>
      </c>
      <c r="Y43" s="43">
        <f t="shared" si="6"/>
        <v>42499.311111111114</v>
      </c>
      <c r="Z43" s="43">
        <f t="shared" si="7"/>
        <v>17044.644444444446</v>
      </c>
      <c r="AA43" s="43">
        <f t="shared" si="19"/>
        <v>1155.3287878787878</v>
      </c>
      <c r="AB43" s="133"/>
      <c r="AC43" s="133"/>
      <c r="AD43" s="133"/>
      <c r="AE43" s="133"/>
      <c r="AF43" s="133"/>
      <c r="AG43" s="133"/>
      <c r="AI43" s="47" t="s">
        <v>166</v>
      </c>
      <c r="AJ43" s="133" t="s">
        <v>166</v>
      </c>
      <c r="AK43" s="133"/>
      <c r="AL43" s="133"/>
      <c r="AS43" s="43">
        <f t="shared" si="8"/>
        <v>0</v>
      </c>
      <c r="AU43" s="43">
        <f t="shared" si="9"/>
        <v>0</v>
      </c>
      <c r="BC43" s="2">
        <f t="shared" si="20"/>
        <v>0</v>
      </c>
      <c r="BE43" s="43">
        <f t="shared" si="10"/>
        <v>0</v>
      </c>
      <c r="BG43" s="43">
        <f t="shared" si="11"/>
        <v>0</v>
      </c>
      <c r="BH43" s="47" t="s">
        <v>166</v>
      </c>
      <c r="BI43" s="2">
        <v>1</v>
      </c>
      <c r="BJ43" s="43">
        <f t="shared" si="12"/>
        <v>415.05</v>
      </c>
      <c r="BM43" s="2">
        <v>9</v>
      </c>
      <c r="BN43" s="43">
        <f t="shared" si="13"/>
        <v>51670</v>
      </c>
      <c r="BP43" s="64">
        <f t="shared" si="14"/>
        <v>0</v>
      </c>
    </row>
    <row r="44" spans="1:68" x14ac:dyDescent="0.25">
      <c r="A44" s="150"/>
      <c r="B44" t="s">
        <v>85</v>
      </c>
      <c r="C44" s="2">
        <v>446</v>
      </c>
      <c r="D44" s="1">
        <v>20</v>
      </c>
      <c r="E44" s="1">
        <v>3</v>
      </c>
      <c r="F44" s="3">
        <f t="shared" si="28"/>
        <v>8920</v>
      </c>
      <c r="G44" s="3">
        <f t="shared" si="29"/>
        <v>991.11111111111109</v>
      </c>
      <c r="H44" s="2">
        <f t="shared" si="30"/>
        <v>82.592592592592581</v>
      </c>
      <c r="I44" s="1">
        <v>110</v>
      </c>
      <c r="J44" s="1">
        <f t="shared" si="32"/>
        <v>170</v>
      </c>
      <c r="K44" s="1" t="s">
        <v>61</v>
      </c>
      <c r="O44" s="3"/>
      <c r="S44" s="47">
        <f t="shared" si="0"/>
        <v>27256.100000000002</v>
      </c>
      <c r="T44" s="192">
        <f t="shared" si="1"/>
        <v>0</v>
      </c>
      <c r="U44" s="47">
        <f t="shared" si="2"/>
        <v>0</v>
      </c>
      <c r="V44" s="47">
        <f t="shared" si="3"/>
        <v>0</v>
      </c>
      <c r="W44" s="47">
        <f t="shared" si="4"/>
        <v>10039.955555555556</v>
      </c>
      <c r="X44" s="43">
        <f t="shared" si="5"/>
        <v>14123.333333333332</v>
      </c>
      <c r="Y44" s="43">
        <f t="shared" si="6"/>
        <v>16878.622222222224</v>
      </c>
      <c r="Z44" s="43">
        <f t="shared" si="7"/>
        <v>6769.2888888888892</v>
      </c>
      <c r="AA44" s="43">
        <f t="shared" si="19"/>
        <v>458.83939393939391</v>
      </c>
      <c r="AB44" s="133"/>
      <c r="AC44" s="133"/>
      <c r="AD44" s="133"/>
      <c r="AE44" s="133"/>
      <c r="AF44" s="133"/>
      <c r="AG44" s="133"/>
      <c r="AI44" s="47" t="s">
        <v>166</v>
      </c>
      <c r="AJ44" s="133" t="s">
        <v>166</v>
      </c>
      <c r="AK44" s="133"/>
      <c r="AL44" s="133"/>
      <c r="AS44" s="43">
        <f t="shared" si="8"/>
        <v>0</v>
      </c>
      <c r="AU44" s="43">
        <f t="shared" si="9"/>
        <v>0</v>
      </c>
      <c r="BC44" s="2">
        <f t="shared" si="20"/>
        <v>0</v>
      </c>
      <c r="BE44" s="43">
        <f t="shared" si="10"/>
        <v>0</v>
      </c>
      <c r="BG44" s="43">
        <f t="shared" si="11"/>
        <v>0</v>
      </c>
      <c r="BH44" s="47" t="s">
        <v>166</v>
      </c>
      <c r="BI44" s="2">
        <v>1</v>
      </c>
      <c r="BJ44" s="43">
        <f t="shared" si="12"/>
        <v>415.05</v>
      </c>
      <c r="BM44" s="2">
        <v>4</v>
      </c>
      <c r="BN44" s="43">
        <f t="shared" si="13"/>
        <v>22964.444444444445</v>
      </c>
      <c r="BP44" s="64">
        <f t="shared" si="14"/>
        <v>0</v>
      </c>
    </row>
    <row r="45" spans="1:68" x14ac:dyDescent="0.25">
      <c r="A45" s="150"/>
      <c r="B45" t="s">
        <v>86</v>
      </c>
      <c r="C45" s="2">
        <v>446</v>
      </c>
      <c r="D45" s="1">
        <v>20</v>
      </c>
      <c r="E45" s="1">
        <v>3</v>
      </c>
      <c r="F45" s="3">
        <f t="shared" si="28"/>
        <v>8920</v>
      </c>
      <c r="G45" s="3">
        <f t="shared" si="29"/>
        <v>991.11111111111109</v>
      </c>
      <c r="H45" s="2">
        <f t="shared" si="30"/>
        <v>82.592592592592581</v>
      </c>
      <c r="I45" s="1">
        <v>110</v>
      </c>
      <c r="J45" s="1">
        <f t="shared" si="32"/>
        <v>170</v>
      </c>
      <c r="K45" s="1" t="s">
        <v>61</v>
      </c>
      <c r="O45" s="3"/>
      <c r="S45" s="47">
        <f t="shared" si="0"/>
        <v>27256.100000000002</v>
      </c>
      <c r="T45" s="192">
        <f t="shared" si="1"/>
        <v>0</v>
      </c>
      <c r="U45" s="47">
        <f t="shared" si="2"/>
        <v>0</v>
      </c>
      <c r="V45" s="47">
        <f t="shared" si="3"/>
        <v>0</v>
      </c>
      <c r="W45" s="47">
        <f t="shared" si="4"/>
        <v>10039.955555555556</v>
      </c>
      <c r="X45" s="43">
        <f t="shared" si="5"/>
        <v>14123.333333333332</v>
      </c>
      <c r="Y45" s="43">
        <f t="shared" si="6"/>
        <v>16878.622222222224</v>
      </c>
      <c r="Z45" s="43">
        <f t="shared" si="7"/>
        <v>6769.2888888888892</v>
      </c>
      <c r="AA45" s="43">
        <f t="shared" si="19"/>
        <v>458.83939393939391</v>
      </c>
      <c r="AB45" s="133"/>
      <c r="AC45" s="133"/>
      <c r="AD45" s="133"/>
      <c r="AE45" s="133"/>
      <c r="AF45" s="133"/>
      <c r="AG45" s="133"/>
      <c r="AI45" s="47" t="s">
        <v>166</v>
      </c>
      <c r="AJ45" s="133" t="s">
        <v>166</v>
      </c>
      <c r="AK45" s="133"/>
      <c r="AL45" s="133"/>
      <c r="AS45" s="43">
        <f t="shared" si="8"/>
        <v>0</v>
      </c>
      <c r="AU45" s="43">
        <f t="shared" si="9"/>
        <v>0</v>
      </c>
      <c r="BC45" s="2">
        <f t="shared" si="20"/>
        <v>0</v>
      </c>
      <c r="BE45" s="43">
        <f t="shared" si="10"/>
        <v>0</v>
      </c>
      <c r="BG45" s="43">
        <f t="shared" si="11"/>
        <v>0</v>
      </c>
      <c r="BH45" s="47" t="s">
        <v>166</v>
      </c>
      <c r="BI45" s="2">
        <v>1</v>
      </c>
      <c r="BJ45" s="43">
        <f t="shared" si="12"/>
        <v>415.05</v>
      </c>
      <c r="BM45" s="2">
        <v>4</v>
      </c>
      <c r="BN45" s="43">
        <f t="shared" si="13"/>
        <v>22964.444444444445</v>
      </c>
      <c r="BP45" s="64">
        <f t="shared" si="14"/>
        <v>0</v>
      </c>
    </row>
    <row r="46" spans="1:68" x14ac:dyDescent="0.25">
      <c r="A46" s="150"/>
      <c r="B46" t="s">
        <v>87</v>
      </c>
      <c r="C46" s="2">
        <v>446</v>
      </c>
      <c r="D46" s="1">
        <v>20</v>
      </c>
      <c r="E46" s="1">
        <v>3</v>
      </c>
      <c r="F46" s="3">
        <f t="shared" si="28"/>
        <v>8920</v>
      </c>
      <c r="G46" s="3">
        <f t="shared" si="29"/>
        <v>991.11111111111109</v>
      </c>
      <c r="H46" s="2">
        <f t="shared" si="30"/>
        <v>82.592592592592581</v>
      </c>
      <c r="I46" s="1">
        <v>110</v>
      </c>
      <c r="J46" s="1">
        <f t="shared" si="32"/>
        <v>170</v>
      </c>
      <c r="K46" s="1" t="s">
        <v>61</v>
      </c>
      <c r="O46" s="3"/>
      <c r="S46" s="47">
        <f t="shared" si="0"/>
        <v>27256.100000000002</v>
      </c>
      <c r="T46" s="192">
        <f t="shared" si="1"/>
        <v>0</v>
      </c>
      <c r="U46" s="47">
        <f t="shared" si="2"/>
        <v>0</v>
      </c>
      <c r="V46" s="47">
        <f t="shared" si="3"/>
        <v>0</v>
      </c>
      <c r="W46" s="47">
        <f t="shared" si="4"/>
        <v>10039.955555555556</v>
      </c>
      <c r="X46" s="43">
        <f t="shared" si="5"/>
        <v>14123.333333333332</v>
      </c>
      <c r="Y46" s="43">
        <f t="shared" si="6"/>
        <v>16878.622222222224</v>
      </c>
      <c r="Z46" s="43">
        <f t="shared" si="7"/>
        <v>6769.2888888888892</v>
      </c>
      <c r="AA46" s="43">
        <f t="shared" si="19"/>
        <v>458.83939393939391</v>
      </c>
      <c r="AB46" s="133"/>
      <c r="AC46" s="133"/>
      <c r="AD46" s="133"/>
      <c r="AE46" s="133"/>
      <c r="AF46" s="133"/>
      <c r="AG46" s="133"/>
      <c r="AI46" s="47" t="s">
        <v>166</v>
      </c>
      <c r="AJ46" s="133" t="s">
        <v>166</v>
      </c>
      <c r="AK46" s="133"/>
      <c r="AL46" s="133"/>
      <c r="AS46" s="43">
        <f t="shared" si="8"/>
        <v>0</v>
      </c>
      <c r="AU46" s="43">
        <f t="shared" si="9"/>
        <v>0</v>
      </c>
      <c r="BC46" s="2">
        <f t="shared" si="20"/>
        <v>0</v>
      </c>
      <c r="BE46" s="43">
        <f t="shared" si="10"/>
        <v>0</v>
      </c>
      <c r="BG46" s="43">
        <f t="shared" si="11"/>
        <v>0</v>
      </c>
      <c r="BH46" s="47" t="s">
        <v>166</v>
      </c>
      <c r="BI46" s="2">
        <v>1</v>
      </c>
      <c r="BJ46" s="43">
        <f t="shared" si="12"/>
        <v>415.05</v>
      </c>
      <c r="BM46" s="2">
        <v>2</v>
      </c>
      <c r="BN46" s="43">
        <f t="shared" si="13"/>
        <v>11482.222222222223</v>
      </c>
      <c r="BP46" s="64">
        <f t="shared" si="14"/>
        <v>0</v>
      </c>
    </row>
    <row r="47" spans="1:68" x14ac:dyDescent="0.25">
      <c r="A47" s="63"/>
      <c r="F47" s="3"/>
      <c r="G47" s="3"/>
      <c r="H47" s="2"/>
      <c r="O47" s="3"/>
      <c r="BP47" s="64"/>
    </row>
    <row r="48" spans="1:68" s="1" customFormat="1" x14ac:dyDescent="0.25">
      <c r="A48" s="65" t="s">
        <v>162</v>
      </c>
      <c r="C48" s="2"/>
      <c r="F48" s="3"/>
      <c r="G48" s="3"/>
      <c r="H48" s="2"/>
      <c r="O48" s="3"/>
      <c r="S48" s="2">
        <f>CEILING(J50, 1000)</f>
        <v>14000</v>
      </c>
      <c r="T48" s="66">
        <f>CEILING(SUMIF(K6:K46, "Mill, Patch, Overlay", G6:G46), 1000)</f>
        <v>54000</v>
      </c>
      <c r="U48" s="2">
        <f>CEILING(O50, 100)</f>
        <v>500</v>
      </c>
      <c r="V48" s="2">
        <f>CEILING(P50, 50)</f>
        <v>0</v>
      </c>
      <c r="W48" s="66">
        <f>CEILING(SUMIF(K6:K46, "Total Reconstruction", G6:G46), 1000)</f>
        <v>29000</v>
      </c>
      <c r="X48" s="66">
        <f>CEILING(SUMIF(K6:K46, "Total Reconstruction", G6:G46), 1000)</f>
        <v>29000</v>
      </c>
      <c r="Y48" s="66">
        <f>CEILING(SUMIF(K6:K46, "Total Reconstruction", G6:G46), 1000)</f>
        <v>29000</v>
      </c>
      <c r="Z48" s="66">
        <f>CEILING(SUMIF(K6:K46, "Total Reconstruction", G6:G46), 1000)</f>
        <v>29000</v>
      </c>
      <c r="AA48" s="66">
        <f>CEILING(SUMIF(K6:K46, "Total Reconstruction", C6:C46) / 5280, 1)</f>
        <v>3</v>
      </c>
      <c r="AB48" s="138">
        <f ca="1">CEILING(((SUMIF(AB6:AD46, "X", C6:C46) * 2 * AB$2 * (AC$2/12)) / 27 ) * AD2, 100)</f>
        <v>900</v>
      </c>
      <c r="AC48" s="138"/>
      <c r="AD48" s="138"/>
      <c r="AE48" s="138">
        <f ca="1">CEILING(((SUMIF(AE6:AG46, "X", C6:C46) * 2 * AE$2 * (AF$2/12)) / 27 ) * AG2, 100)</f>
        <v>1000</v>
      </c>
      <c r="AF48" s="138"/>
      <c r="AG48" s="138"/>
      <c r="AH48" s="2">
        <f>SUM(AH6:AH46)</f>
        <v>0</v>
      </c>
      <c r="AI48" s="66">
        <f>IF(COUNTIF(K6:K46, "TOTAL RECONSTRUCTION") &gt; 0, 1, 0)</f>
        <v>1</v>
      </c>
      <c r="AJ48" s="138">
        <f ca="1">CEILING(((SUMIF(AJ6:AL46, "X", C6:C46) * 2 * AJ$2 * (AK$2/12)) / 27 ) * AL2, 100)</f>
        <v>1800</v>
      </c>
      <c r="AK48" s="138"/>
      <c r="AL48" s="138"/>
      <c r="AM48" s="2"/>
      <c r="AN48" s="2"/>
      <c r="AO48" s="2"/>
      <c r="AP48" s="2"/>
      <c r="AQ48" s="2"/>
      <c r="AR48" s="141">
        <f>CEILING(SUM(AR6:AR46), 100)</f>
        <v>100</v>
      </c>
      <c r="AS48" s="141"/>
      <c r="AT48" s="141">
        <f>CEILING(SUM(AT6:AT46), 100)</f>
        <v>100</v>
      </c>
      <c r="AU48" s="141"/>
      <c r="AV48" s="2"/>
      <c r="AW48" s="2"/>
      <c r="AX48" s="2"/>
      <c r="AY48" s="2"/>
      <c r="AZ48" s="2"/>
      <c r="BA48" s="2"/>
      <c r="BB48" s="2"/>
      <c r="BC48" s="2">
        <f>CEILING(SUM(BC6:BC46), 100)</f>
        <v>100</v>
      </c>
      <c r="BD48" s="141">
        <f>CEILING((SUMIF(BD6:BD46, "=X", C6:C46) * 2) / 5280, 1)</f>
        <v>0</v>
      </c>
      <c r="BE48" s="141"/>
      <c r="BF48" s="141">
        <f>CEILING((SUMIF(BF6:BF46, "=X", C6:C46)) / 5280, 1)</f>
        <v>1</v>
      </c>
      <c r="BG48" s="141"/>
      <c r="BH48" s="141" cm="1">
        <f t="array" ref="BH48">CEILING(SUMPRODUCT((BI6:BI46) * (D6:D46) * (BH6:BH46 = "X")) * BI2, 100)</f>
        <v>800</v>
      </c>
      <c r="BI48" s="141" t="e" cm="1">
        <f t="array" ref="BI48">SUMPRODUCT((#REF!) * (#REF!) * (#REF! = "X")) *#REF!</f>
        <v>#REF!</v>
      </c>
      <c r="BJ48" s="141" t="e" cm="1">
        <f t="array" ref="BJ48">SUMPRODUCT((#REF!) * (#REF!) * (#REF! = "X")) *#REF!</f>
        <v>#REF!</v>
      </c>
      <c r="BK48" s="2">
        <v>1</v>
      </c>
      <c r="BL48" s="2">
        <v>10000</v>
      </c>
      <c r="BM48" s="138">
        <f>CEILING((SUM(BM6:BM46) * BM2 * BN2) / 9, 100)</f>
        <v>1200</v>
      </c>
      <c r="BN48" s="138"/>
      <c r="BO48" s="138">
        <f>SUM(BO6:BO46)</f>
        <v>1</v>
      </c>
      <c r="BP48" s="142"/>
    </row>
    <row r="49" spans="1:72" s="4" customFormat="1" x14ac:dyDescent="0.25">
      <c r="A49" s="65" t="s">
        <v>161</v>
      </c>
      <c r="C49" s="67"/>
      <c r="F49" s="68"/>
      <c r="G49" s="68"/>
      <c r="H49" s="67"/>
      <c r="O49" s="68"/>
      <c r="S49" s="54">
        <v>160.33000000000001</v>
      </c>
      <c r="T49" s="44">
        <v>4</v>
      </c>
      <c r="U49" s="54">
        <v>176.67</v>
      </c>
      <c r="V49" s="54">
        <v>135.66999999999999</v>
      </c>
      <c r="W49" s="54">
        <v>10.130000000000001</v>
      </c>
      <c r="X49" s="42">
        <v>14.25</v>
      </c>
      <c r="Y49" s="42">
        <v>17.03</v>
      </c>
      <c r="Z49" s="42">
        <v>6.83</v>
      </c>
      <c r="AA49" s="42">
        <v>5432</v>
      </c>
      <c r="AB49" s="137">
        <v>171.33</v>
      </c>
      <c r="AC49" s="137"/>
      <c r="AD49" s="137"/>
      <c r="AE49" s="137">
        <v>146.66999999999999</v>
      </c>
      <c r="AF49" s="137"/>
      <c r="AG49" s="137"/>
      <c r="AH49" s="42">
        <v>226.67</v>
      </c>
      <c r="AI49" s="54">
        <v>75000</v>
      </c>
      <c r="AJ49" s="137">
        <v>123.5</v>
      </c>
      <c r="AK49" s="137"/>
      <c r="AL49" s="137"/>
      <c r="AM49" s="69"/>
      <c r="AN49" s="69"/>
      <c r="AO49" s="69"/>
      <c r="AP49" s="69"/>
      <c r="AQ49" s="69"/>
      <c r="AR49" s="137">
        <v>216.33</v>
      </c>
      <c r="AS49" s="137"/>
      <c r="AT49" s="137">
        <v>249.33</v>
      </c>
      <c r="AU49" s="137"/>
      <c r="AV49" s="42"/>
      <c r="AW49" s="42"/>
      <c r="AX49" s="42"/>
      <c r="AY49" s="42"/>
      <c r="AZ49" s="42"/>
      <c r="BA49" s="42"/>
      <c r="BB49" s="42"/>
      <c r="BC49" s="54">
        <f>200</f>
        <v>200</v>
      </c>
      <c r="BD49" s="137">
        <v>5500</v>
      </c>
      <c r="BE49" s="137"/>
      <c r="BF49" s="137">
        <v>1661.33</v>
      </c>
      <c r="BG49" s="137"/>
      <c r="BH49" s="137">
        <v>27.67</v>
      </c>
      <c r="BI49" s="137"/>
      <c r="BJ49" s="137"/>
      <c r="BK49" s="42">
        <v>100000</v>
      </c>
      <c r="BL49" s="42">
        <v>1</v>
      </c>
      <c r="BM49" s="137">
        <v>103.34</v>
      </c>
      <c r="BN49" s="137"/>
      <c r="BO49" s="137">
        <v>5162</v>
      </c>
      <c r="BP49" s="139"/>
      <c r="BS49" s="4" t="s">
        <v>167</v>
      </c>
    </row>
    <row r="50" spans="1:72" s="4" customFormat="1" x14ac:dyDescent="0.25">
      <c r="A50" s="65" t="s">
        <v>160</v>
      </c>
      <c r="C50" s="5">
        <f>SUM(C6:C46)</f>
        <v>35689</v>
      </c>
      <c r="D50" s="6"/>
      <c r="E50" s="6"/>
      <c r="F50" s="5">
        <f>SUM(F6:F46)</f>
        <v>733034.5</v>
      </c>
      <c r="G50" s="5">
        <f>SUM(G6:G46)</f>
        <v>81448.277777777796</v>
      </c>
      <c r="H50" s="5">
        <f>SUM(H6:H46)</f>
        <v>6787.356481481479</v>
      </c>
      <c r="I50" s="5"/>
      <c r="J50" s="5">
        <f>SUM(J6:J46)</f>
        <v>13640</v>
      </c>
      <c r="K50" s="5"/>
      <c r="L50" s="5"/>
      <c r="M50" s="5"/>
      <c r="N50" s="5">
        <f t="shared" ref="N50:BB50" si="33">SUM(N6:N46)</f>
        <v>4479</v>
      </c>
      <c r="O50" s="5">
        <f t="shared" si="33"/>
        <v>497.66666666666669</v>
      </c>
      <c r="P50" s="5">
        <f t="shared" si="33"/>
        <v>0</v>
      </c>
      <c r="Q50" s="5">
        <f t="shared" si="33"/>
        <v>21</v>
      </c>
      <c r="R50" s="5">
        <f t="shared" si="33"/>
        <v>0</v>
      </c>
      <c r="S50" s="70">
        <f t="shared" si="33"/>
        <v>2186901.2000000007</v>
      </c>
      <c r="T50" s="70">
        <f t="shared" si="33"/>
        <v>213651.33333333331</v>
      </c>
      <c r="U50" s="70">
        <f t="shared" si="33"/>
        <v>87922.76999999999</v>
      </c>
      <c r="V50" s="70">
        <f t="shared" si="33"/>
        <v>0</v>
      </c>
      <c r="W50" s="70">
        <f t="shared" si="33"/>
        <v>283999.05222222221</v>
      </c>
      <c r="X50" s="70">
        <f t="shared" si="33"/>
        <v>399505.08333333326</v>
      </c>
      <c r="Y50" s="70">
        <f t="shared" si="33"/>
        <v>477443.61888888892</v>
      </c>
      <c r="Z50" s="70">
        <f t="shared" si="33"/>
        <v>191482.08555555559</v>
      </c>
      <c r="AA50" s="70">
        <f t="shared" si="33"/>
        <v>14257.971212121211</v>
      </c>
      <c r="AB50" s="135">
        <f ca="1">AB48 * AB49</f>
        <v>154197</v>
      </c>
      <c r="AC50" s="135"/>
      <c r="AD50" s="135"/>
      <c r="AE50" s="135">
        <f ca="1">AE48 * AE49</f>
        <v>146670</v>
      </c>
      <c r="AF50" s="135"/>
      <c r="AG50" s="135"/>
      <c r="AH50" s="42">
        <f>AH48 * AH49</f>
        <v>0</v>
      </c>
      <c r="AI50" s="70">
        <f>AI48 * AI49</f>
        <v>75000</v>
      </c>
      <c r="AJ50" s="135">
        <f ca="1">AJ48 * AJ49</f>
        <v>222300</v>
      </c>
      <c r="AK50" s="135"/>
      <c r="AL50" s="135"/>
      <c r="AM50" s="70">
        <f t="shared" si="33"/>
        <v>0</v>
      </c>
      <c r="AN50" s="70">
        <f t="shared" si="33"/>
        <v>0</v>
      </c>
      <c r="AO50" s="70">
        <f t="shared" si="33"/>
        <v>0</v>
      </c>
      <c r="AP50" s="70">
        <f t="shared" si="33"/>
        <v>0</v>
      </c>
      <c r="AQ50" s="70">
        <f t="shared" si="33"/>
        <v>0</v>
      </c>
      <c r="AR50" s="135">
        <f>SUM(AS6:AS46)</f>
        <v>8653.2000000000007</v>
      </c>
      <c r="AS50" s="135"/>
      <c r="AT50" s="135">
        <f>SUM(AU6:AU46)</f>
        <v>13962.48</v>
      </c>
      <c r="AU50" s="135"/>
      <c r="AV50" s="70">
        <f t="shared" si="33"/>
        <v>0</v>
      </c>
      <c r="AW50" s="70">
        <f t="shared" si="33"/>
        <v>0</v>
      </c>
      <c r="AX50" s="70">
        <f t="shared" si="33"/>
        <v>0</v>
      </c>
      <c r="AY50" s="70">
        <f t="shared" si="33"/>
        <v>0</v>
      </c>
      <c r="AZ50" s="70">
        <f t="shared" si="33"/>
        <v>0</v>
      </c>
      <c r="BA50" s="70">
        <f t="shared" si="33"/>
        <v>0</v>
      </c>
      <c r="BB50" s="70">
        <f t="shared" si="33"/>
        <v>0</v>
      </c>
      <c r="BC50" s="70">
        <f xml:space="preserve"> BC48 * BC49</f>
        <v>20000</v>
      </c>
      <c r="BD50" s="135">
        <f>SUM(BE6:BE46)</f>
        <v>0</v>
      </c>
      <c r="BE50" s="135"/>
      <c r="BF50" s="135">
        <f>SUM(BG6:BG46)</f>
        <v>694.10870833333331</v>
      </c>
      <c r="BG50" s="135"/>
      <c r="BH50" s="135">
        <f>SUM(BJ6:BJ46)</f>
        <v>20679.866249999999</v>
      </c>
      <c r="BI50" s="135"/>
      <c r="BJ50" s="135"/>
      <c r="BK50" s="70">
        <f>BK49 * BK48</f>
        <v>100000</v>
      </c>
      <c r="BL50" s="70">
        <f>BL49 * BL48</f>
        <v>10000</v>
      </c>
      <c r="BM50" s="135">
        <f>SUM(BN6:BN46)</f>
        <v>114822.22222222222</v>
      </c>
      <c r="BN50" s="135"/>
      <c r="BO50" s="135">
        <f>SUM(BP6:BP46)</f>
        <v>5162</v>
      </c>
      <c r="BP50" s="136"/>
      <c r="BR50" s="42">
        <f ca="1">SUM(S50:V50, Z50:BO50) + MAX(W50:Y50)</f>
        <v>4063799.8561704555</v>
      </c>
      <c r="BS50" s="48">
        <v>0.1</v>
      </c>
      <c r="BT50" s="42">
        <f ca="1">BR50 * (1 + BS50)</f>
        <v>4470179.8417875012</v>
      </c>
    </row>
    <row r="51" spans="1:72" s="4" customFormat="1" x14ac:dyDescent="0.25">
      <c r="A51" s="65"/>
      <c r="C51" s="5"/>
      <c r="D51" s="6"/>
      <c r="E51" s="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42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85"/>
      <c r="BR51" s="42"/>
      <c r="BS51" s="48"/>
      <c r="BT51" s="42"/>
    </row>
    <row r="52" spans="1:72" s="4" customFormat="1" x14ac:dyDescent="0.25">
      <c r="A52" s="65" t="s">
        <v>220</v>
      </c>
      <c r="C52" s="5"/>
      <c r="D52" s="6"/>
      <c r="E52" s="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70">
        <f>S48 * S49</f>
        <v>2244620</v>
      </c>
      <c r="T52" s="70">
        <f t="shared" ref="T52:BO52" si="34">T48 * T49</f>
        <v>216000</v>
      </c>
      <c r="U52" s="70">
        <f t="shared" si="34"/>
        <v>88335</v>
      </c>
      <c r="V52" s="70">
        <f t="shared" si="34"/>
        <v>0</v>
      </c>
      <c r="W52" s="70">
        <f t="shared" si="34"/>
        <v>293770</v>
      </c>
      <c r="X52" s="70">
        <f t="shared" si="34"/>
        <v>413250</v>
      </c>
      <c r="Y52" s="70">
        <f t="shared" si="34"/>
        <v>493870.00000000006</v>
      </c>
      <c r="Z52" s="70">
        <f t="shared" si="34"/>
        <v>198070</v>
      </c>
      <c r="AA52" s="70">
        <f t="shared" si="34"/>
        <v>16296</v>
      </c>
      <c r="AB52" s="135">
        <f t="shared" ca="1" si="34"/>
        <v>154197</v>
      </c>
      <c r="AC52" s="135"/>
      <c r="AD52" s="135"/>
      <c r="AE52" s="135">
        <f t="shared" ca="1" si="34"/>
        <v>146670</v>
      </c>
      <c r="AF52" s="135"/>
      <c r="AG52" s="135"/>
      <c r="AH52" s="70">
        <f t="shared" si="34"/>
        <v>0</v>
      </c>
      <c r="AI52" s="70">
        <f t="shared" si="34"/>
        <v>75000</v>
      </c>
      <c r="AJ52" s="135">
        <f t="shared" ca="1" si="34"/>
        <v>222300</v>
      </c>
      <c r="AK52" s="135"/>
      <c r="AL52" s="135"/>
      <c r="AM52" s="70">
        <f t="shared" si="34"/>
        <v>0</v>
      </c>
      <c r="AN52" s="70">
        <f t="shared" si="34"/>
        <v>0</v>
      </c>
      <c r="AO52" s="70">
        <f t="shared" si="34"/>
        <v>0</v>
      </c>
      <c r="AP52" s="70">
        <f t="shared" si="34"/>
        <v>0</v>
      </c>
      <c r="AQ52" s="70">
        <f t="shared" si="34"/>
        <v>0</v>
      </c>
      <c r="AR52" s="135">
        <f t="shared" si="34"/>
        <v>21633</v>
      </c>
      <c r="AS52" s="135"/>
      <c r="AT52" s="135">
        <f t="shared" si="34"/>
        <v>24933</v>
      </c>
      <c r="AU52" s="135"/>
      <c r="AV52" s="70">
        <f t="shared" si="34"/>
        <v>0</v>
      </c>
      <c r="AW52" s="70">
        <f t="shared" si="34"/>
        <v>0</v>
      </c>
      <c r="AX52" s="70">
        <f t="shared" si="34"/>
        <v>0</v>
      </c>
      <c r="AY52" s="70">
        <f t="shared" si="34"/>
        <v>0</v>
      </c>
      <c r="AZ52" s="70">
        <f t="shared" si="34"/>
        <v>0</v>
      </c>
      <c r="BA52" s="70">
        <f t="shared" si="34"/>
        <v>0</v>
      </c>
      <c r="BB52" s="70">
        <f t="shared" si="34"/>
        <v>0</v>
      </c>
      <c r="BC52" s="70">
        <f t="shared" si="34"/>
        <v>20000</v>
      </c>
      <c r="BD52" s="135">
        <f t="shared" si="34"/>
        <v>0</v>
      </c>
      <c r="BE52" s="135"/>
      <c r="BF52" s="135">
        <f t="shared" si="34"/>
        <v>1661.33</v>
      </c>
      <c r="BG52" s="135"/>
      <c r="BH52" s="135">
        <f t="shared" si="34"/>
        <v>22136</v>
      </c>
      <c r="BI52" s="135"/>
      <c r="BJ52" s="135"/>
      <c r="BK52" s="70">
        <f t="shared" si="34"/>
        <v>100000</v>
      </c>
      <c r="BL52" s="70">
        <f t="shared" si="34"/>
        <v>10000</v>
      </c>
      <c r="BM52" s="135">
        <f t="shared" si="34"/>
        <v>124008</v>
      </c>
      <c r="BN52" s="135"/>
      <c r="BO52" s="135">
        <f t="shared" si="34"/>
        <v>5162</v>
      </c>
      <c r="BP52" s="136"/>
      <c r="BR52" s="42">
        <f t="shared" ref="BR52" ca="1" si="35">SUM(S52:V52, Z52:BO52) + MAX(W52:Y52)</f>
        <v>4184891.33</v>
      </c>
      <c r="BS52" s="48"/>
      <c r="BT52" s="42"/>
    </row>
    <row r="53" spans="1:72" ht="15.75" thickBot="1" x14ac:dyDescent="0.3">
      <c r="A53" s="71"/>
      <c r="B53" s="72"/>
      <c r="C53" s="73"/>
      <c r="D53" s="74"/>
      <c r="E53" s="74"/>
      <c r="F53" s="75"/>
      <c r="G53" s="75"/>
      <c r="H53" s="73"/>
      <c r="I53" s="74"/>
      <c r="J53" s="74"/>
      <c r="K53" s="74"/>
      <c r="L53" s="74"/>
      <c r="M53" s="74"/>
      <c r="N53" s="74"/>
      <c r="O53" s="75"/>
      <c r="P53" s="74"/>
      <c r="Q53" s="74"/>
      <c r="R53" s="72"/>
      <c r="S53" s="77"/>
      <c r="T53" s="194"/>
      <c r="U53" s="77"/>
      <c r="V53" s="77"/>
      <c r="W53" s="77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7"/>
      <c r="AJ53" s="77"/>
      <c r="AK53" s="77"/>
      <c r="AL53" s="76"/>
      <c r="AM53" s="76"/>
      <c r="AN53" s="76"/>
      <c r="AO53" s="76"/>
      <c r="AP53" s="76"/>
      <c r="AQ53" s="76"/>
      <c r="AR53" s="73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3"/>
      <c r="BD53" s="76"/>
      <c r="BE53" s="76"/>
      <c r="BF53" s="77"/>
      <c r="BG53" s="76"/>
      <c r="BH53" s="77"/>
      <c r="BI53" s="73"/>
      <c r="BJ53" s="76"/>
      <c r="BK53" s="76"/>
      <c r="BL53" s="76"/>
      <c r="BM53" s="76"/>
      <c r="BN53" s="76"/>
      <c r="BO53" s="73"/>
      <c r="BP53" s="78"/>
    </row>
    <row r="54" spans="1:72" ht="15.75" thickTop="1" x14ac:dyDescent="0.25">
      <c r="A54" s="147" t="s">
        <v>157</v>
      </c>
      <c r="B54" s="56" t="s">
        <v>2</v>
      </c>
      <c r="C54" s="57">
        <v>568</v>
      </c>
      <c r="D54" s="58">
        <v>23</v>
      </c>
      <c r="E54" s="58">
        <v>3</v>
      </c>
      <c r="F54" s="59">
        <f>C54*D54</f>
        <v>13064</v>
      </c>
      <c r="G54" s="59">
        <f>F54/9</f>
        <v>1451.5555555555557</v>
      </c>
      <c r="H54" s="57">
        <f xml:space="preserve"> (G54* (E54 / 36))</f>
        <v>120.96296296296296</v>
      </c>
      <c r="I54" s="58">
        <v>110</v>
      </c>
      <c r="J54" s="58">
        <f xml:space="preserve"> ROUNDUP(((I54 * E54 * G54)/2000), -1)</f>
        <v>240</v>
      </c>
      <c r="K54" s="58" t="s">
        <v>60</v>
      </c>
      <c r="L54" s="58">
        <v>13</v>
      </c>
      <c r="M54" s="58">
        <v>23</v>
      </c>
      <c r="N54" s="58">
        <f t="shared" ref="N54:N61" si="36">L54 * M54</f>
        <v>299</v>
      </c>
      <c r="O54" s="59">
        <f t="shared" ref="O54:O61" si="37">N54 / 9</f>
        <v>33.222222222222221</v>
      </c>
      <c r="P54" s="58">
        <v>22</v>
      </c>
      <c r="Q54" s="58"/>
      <c r="R54" s="56"/>
      <c r="S54" s="61">
        <f>J54*S$87</f>
        <v>38479.200000000004</v>
      </c>
      <c r="T54" s="193">
        <f>IF(K54 = "Total Reconstruction", 0, G54*T$87)</f>
        <v>5806.2222222222226</v>
      </c>
      <c r="U54" s="61">
        <f>IF(O54 = 0, 0, O54*U$87)</f>
        <v>5869.37</v>
      </c>
      <c r="V54" s="61">
        <f>IF(P54 = 0, 0, P54*V$87)</f>
        <v>2984.74</v>
      </c>
      <c r="W54" s="61">
        <f>IF(K54 = "Total Reconstruction", G54 * W$87, 0)</f>
        <v>0</v>
      </c>
      <c r="X54" s="60">
        <f>IF(K54 = "Total Reconstruction", G54 * X$87, 0)</f>
        <v>0</v>
      </c>
      <c r="Y54" s="60">
        <f>IF(K54 = "Total Reconstruction", G54 * Y$87, 0)</f>
        <v>0</v>
      </c>
      <c r="Z54" s="60">
        <f>IF(K54 = "Total Reconstruction", G54 * Z$87, 0)</f>
        <v>0</v>
      </c>
      <c r="AA54" s="60">
        <f>IF(K54 = "Total Reconstruction", C54 * AA$87, 0) / 5280</f>
        <v>0</v>
      </c>
      <c r="AB54" s="134"/>
      <c r="AC54" s="134"/>
      <c r="AD54" s="134"/>
      <c r="AE54" s="134"/>
      <c r="AF54" s="134"/>
      <c r="AG54" s="134"/>
      <c r="AH54" s="60"/>
      <c r="AI54" s="61"/>
      <c r="AJ54" s="134"/>
      <c r="AK54" s="134"/>
      <c r="AL54" s="134"/>
      <c r="AM54" s="60"/>
      <c r="AN54" s="60"/>
      <c r="AO54" s="60"/>
      <c r="AP54" s="60"/>
      <c r="AQ54" s="60"/>
      <c r="AR54" s="57"/>
      <c r="AS54" s="60">
        <f>IF(AR54&gt;0, AR54 * AR$87, 0)</f>
        <v>0</v>
      </c>
      <c r="AT54" s="60"/>
      <c r="AU54" s="60">
        <f>IF(AT54&gt;0, AT54 * AT$87, 0)</f>
        <v>0</v>
      </c>
      <c r="AV54" s="60"/>
      <c r="AW54" s="60"/>
      <c r="AX54" s="60"/>
      <c r="AY54" s="60"/>
      <c r="AZ54" s="60"/>
      <c r="BA54" s="60"/>
      <c r="BB54" s="60"/>
      <c r="BC54" s="57">
        <f t="shared" ref="BC54:BC84" si="38">IF(AR54 &gt; 0, (((2 * AS$2) + AR$2) * AR54 * (BC$2 / 12))/27, 0) + IF(AT54 &gt; 0, (((2 * AU$2) + AT$2) * AT54 * (BC$2 / 12))/27, 0)</f>
        <v>0</v>
      </c>
      <c r="BD54" s="60"/>
      <c r="BE54" s="60">
        <f t="shared" ref="BE54:BE84" si="39">IF(BD54 = "X", ((2 * (C54/5280)) * BD$87), 0)</f>
        <v>0</v>
      </c>
      <c r="BF54" s="61"/>
      <c r="BG54" s="60">
        <f t="shared" ref="BG54:BG84" si="40">IF(BF54 = "X", ((C54/5280) * BF$87), 0)</f>
        <v>0</v>
      </c>
      <c r="BH54" s="61" t="s">
        <v>166</v>
      </c>
      <c r="BI54" s="57">
        <v>1</v>
      </c>
      <c r="BJ54" s="60">
        <f t="shared" ref="BJ54:BJ84" si="41">IF(BH54 = "X", BI54 * (D54 * BI$2 * BH$87), 0)</f>
        <v>477.3075</v>
      </c>
      <c r="BK54" s="60"/>
      <c r="BL54" s="60"/>
      <c r="BM54" s="60"/>
      <c r="BN54" s="60">
        <f>IF(BM54 &gt; 0, ((BM54 * (BM$2 * BN$2)/ 9) * BM$86), 0)</f>
        <v>0</v>
      </c>
      <c r="BO54" s="57"/>
      <c r="BP54" s="64">
        <f>IF(BO54 &gt; 0, BO54 * BO$87, 0)</f>
        <v>0</v>
      </c>
    </row>
    <row r="55" spans="1:72" x14ac:dyDescent="0.25">
      <c r="A55" s="148"/>
      <c r="F55" s="3"/>
      <c r="G55" s="3"/>
      <c r="H55" s="2"/>
      <c r="L55" s="1">
        <v>8</v>
      </c>
      <c r="M55" s="1">
        <v>12</v>
      </c>
      <c r="N55" s="1">
        <f t="shared" si="36"/>
        <v>96</v>
      </c>
      <c r="O55" s="3">
        <f t="shared" si="37"/>
        <v>10.666666666666666</v>
      </c>
      <c r="U55" s="47">
        <f t="shared" ref="U55:U84" si="42">IF(O55 = 0, 0, O55*U$87)</f>
        <v>1884.4799999999998</v>
      </c>
      <c r="V55" s="47">
        <f t="shared" ref="V55:V84" si="43">IF(P55 = 0, 0, P55*V$87)</f>
        <v>0</v>
      </c>
      <c r="W55" s="47">
        <f t="shared" ref="W55:W84" si="44">IF(K55 = "Total Reconstruction", G55 * W$87, 0)</f>
        <v>0</v>
      </c>
      <c r="X55" s="43">
        <f t="shared" ref="X55:X84" si="45">IF(K55 = "Total Reconstruction", G55 * X$87, 0)</f>
        <v>0</v>
      </c>
      <c r="Y55" s="43">
        <f t="shared" ref="Y55:Y84" si="46">IF(K55 = "Total Reconstruction", G55 * Y$87, 0)</f>
        <v>0</v>
      </c>
      <c r="Z55" s="43">
        <f t="shared" ref="Z55:Z84" si="47">IF(K55 = "Total Reconstruction", G55 * Z$87, 0)</f>
        <v>0</v>
      </c>
      <c r="AA55" s="43">
        <f t="shared" ref="AA55:AA84" si="48">IF(K55 = "Total Reconstruction", C55 * AA$87, 0) / 5280</f>
        <v>0</v>
      </c>
      <c r="AB55" s="133"/>
      <c r="AC55" s="133"/>
      <c r="AD55" s="133"/>
      <c r="AE55" s="133"/>
      <c r="AF55" s="133"/>
      <c r="AG55" s="133"/>
      <c r="AJ55" s="133"/>
      <c r="AK55" s="133"/>
      <c r="AL55" s="133"/>
      <c r="AS55" s="43">
        <f t="shared" ref="AS55:AS84" si="49">IF(AR55&gt;0, AR55 * AR$87, 0)</f>
        <v>0</v>
      </c>
      <c r="AU55" s="43">
        <f t="shared" ref="AU55:AU84" si="50">IF(AT55&gt;0, AT55 * AT$87, 0)</f>
        <v>0</v>
      </c>
      <c r="BC55" s="2">
        <f t="shared" si="38"/>
        <v>0</v>
      </c>
      <c r="BE55" s="43">
        <f t="shared" si="39"/>
        <v>0</v>
      </c>
      <c r="BG55" s="43">
        <f t="shared" si="40"/>
        <v>0</v>
      </c>
      <c r="BJ55" s="43">
        <f t="shared" si="41"/>
        <v>0</v>
      </c>
      <c r="BM55" s="83"/>
      <c r="BN55" s="43">
        <f t="shared" ref="BN55:BN84" si="51">IF(BM55 &gt; 0, ((BM55 * (BM$2 * BN$2)/ 9) * BM$87), 0)</f>
        <v>0</v>
      </c>
      <c r="BP55" s="64">
        <f t="shared" ref="BP55:BP79" si="52">IF(BO55 &gt; 0, BO55 * BO$49, 0)</f>
        <v>0</v>
      </c>
    </row>
    <row r="56" spans="1:72" x14ac:dyDescent="0.25">
      <c r="A56" s="148"/>
      <c r="B56" t="s">
        <v>3</v>
      </c>
      <c r="C56" s="2">
        <v>1186</v>
      </c>
      <c r="D56" s="1">
        <v>23</v>
      </c>
      <c r="E56" s="1">
        <v>3</v>
      </c>
      <c r="F56" s="3">
        <f>C56*D56</f>
        <v>27278</v>
      </c>
      <c r="G56" s="3">
        <f>F56/9</f>
        <v>3030.8888888888887</v>
      </c>
      <c r="H56" s="2">
        <f xml:space="preserve"> (G56* (E56 / 36))</f>
        <v>252.57407407407405</v>
      </c>
      <c r="I56" s="1">
        <v>110</v>
      </c>
      <c r="J56" s="1">
        <f xml:space="preserve"> ROUNDUP(((I56 * E56 * G56)/2000), -1)</f>
        <v>510</v>
      </c>
      <c r="K56" s="1" t="s">
        <v>60</v>
      </c>
      <c r="L56" s="1">
        <v>10</v>
      </c>
      <c r="M56" s="1">
        <v>15</v>
      </c>
      <c r="N56" s="1">
        <f t="shared" si="36"/>
        <v>150</v>
      </c>
      <c r="O56" s="3">
        <f t="shared" si="37"/>
        <v>16.666666666666668</v>
      </c>
      <c r="P56" s="1">
        <v>102</v>
      </c>
      <c r="Q56" s="1">
        <v>1</v>
      </c>
      <c r="S56" s="47">
        <f t="shared" ref="S56:S84" si="53">J56*S$87</f>
        <v>81768.3</v>
      </c>
      <c r="T56" s="192">
        <f t="shared" ref="T56:T84" si="54">IF(K56 = "Total Reconstruction", 0, G56*T$87)</f>
        <v>12123.555555555555</v>
      </c>
      <c r="U56" s="47">
        <f t="shared" si="42"/>
        <v>2944.5</v>
      </c>
      <c r="V56" s="47">
        <f t="shared" si="43"/>
        <v>13838.339999999998</v>
      </c>
      <c r="W56" s="47">
        <f t="shared" si="44"/>
        <v>0</v>
      </c>
      <c r="X56" s="43">
        <f t="shared" si="45"/>
        <v>0</v>
      </c>
      <c r="Y56" s="43">
        <f t="shared" si="46"/>
        <v>0</v>
      </c>
      <c r="Z56" s="43">
        <f t="shared" si="47"/>
        <v>0</v>
      </c>
      <c r="AA56" s="43">
        <f t="shared" si="48"/>
        <v>0</v>
      </c>
      <c r="AB56" s="133"/>
      <c r="AC56" s="133"/>
      <c r="AD56" s="133"/>
      <c r="AE56" s="133"/>
      <c r="AF56" s="133"/>
      <c r="AG56" s="133"/>
      <c r="AJ56" s="133"/>
      <c r="AK56" s="133"/>
      <c r="AL56" s="133"/>
      <c r="AS56" s="43">
        <f t="shared" si="49"/>
        <v>0</v>
      </c>
      <c r="AU56" s="43">
        <f t="shared" si="50"/>
        <v>0</v>
      </c>
      <c r="BC56" s="2">
        <f t="shared" si="38"/>
        <v>0</v>
      </c>
      <c r="BE56" s="43">
        <f t="shared" si="39"/>
        <v>0</v>
      </c>
      <c r="BG56" s="43">
        <f t="shared" si="40"/>
        <v>0</v>
      </c>
      <c r="BH56" s="2"/>
      <c r="BJ56" s="43">
        <f t="shared" si="41"/>
        <v>0</v>
      </c>
      <c r="BM56" s="83"/>
      <c r="BN56" s="43">
        <f t="shared" si="51"/>
        <v>0</v>
      </c>
      <c r="BP56" s="64">
        <f t="shared" si="52"/>
        <v>0</v>
      </c>
    </row>
    <row r="57" spans="1:72" x14ac:dyDescent="0.25">
      <c r="A57" s="148"/>
      <c r="F57" s="3"/>
      <c r="G57" s="3"/>
      <c r="H57" s="2"/>
      <c r="L57" s="1">
        <v>10</v>
      </c>
      <c r="M57" s="1">
        <v>23</v>
      </c>
      <c r="N57" s="1">
        <f t="shared" si="36"/>
        <v>230</v>
      </c>
      <c r="O57" s="3">
        <f t="shared" si="37"/>
        <v>25.555555555555557</v>
      </c>
      <c r="U57" s="47">
        <f t="shared" si="42"/>
        <v>4514.8999999999996</v>
      </c>
      <c r="V57" s="47">
        <f t="shared" si="43"/>
        <v>0</v>
      </c>
      <c r="W57" s="47">
        <f t="shared" si="44"/>
        <v>0</v>
      </c>
      <c r="X57" s="43">
        <f t="shared" si="45"/>
        <v>0</v>
      </c>
      <c r="Y57" s="43">
        <f t="shared" si="46"/>
        <v>0</v>
      </c>
      <c r="Z57" s="43">
        <f t="shared" si="47"/>
        <v>0</v>
      </c>
      <c r="AA57" s="43">
        <f t="shared" si="48"/>
        <v>0</v>
      </c>
      <c r="AB57" s="133"/>
      <c r="AC57" s="133"/>
      <c r="AD57" s="133"/>
      <c r="AE57" s="133"/>
      <c r="AF57" s="133"/>
      <c r="AG57" s="133"/>
      <c r="AJ57" s="133"/>
      <c r="AK57" s="133"/>
      <c r="AL57" s="133"/>
      <c r="AS57" s="43">
        <f t="shared" si="49"/>
        <v>0</v>
      </c>
      <c r="AU57" s="43">
        <f t="shared" si="50"/>
        <v>0</v>
      </c>
      <c r="BC57" s="2">
        <f t="shared" si="38"/>
        <v>0</v>
      </c>
      <c r="BE57" s="43">
        <f t="shared" si="39"/>
        <v>0</v>
      </c>
      <c r="BG57" s="43">
        <f t="shared" si="40"/>
        <v>0</v>
      </c>
      <c r="BJ57" s="43">
        <f t="shared" si="41"/>
        <v>0</v>
      </c>
      <c r="BM57" s="83"/>
      <c r="BN57" s="43">
        <f t="shared" si="51"/>
        <v>0</v>
      </c>
      <c r="BP57" s="64">
        <f t="shared" si="52"/>
        <v>0</v>
      </c>
    </row>
    <row r="58" spans="1:72" x14ac:dyDescent="0.25">
      <c r="A58" s="148"/>
      <c r="F58" s="3"/>
      <c r="G58" s="3"/>
      <c r="H58" s="2"/>
      <c r="L58" s="1">
        <v>17</v>
      </c>
      <c r="M58" s="1">
        <v>6</v>
      </c>
      <c r="N58" s="1">
        <f t="shared" si="36"/>
        <v>102</v>
      </c>
      <c r="O58" s="3">
        <f t="shared" si="37"/>
        <v>11.333333333333334</v>
      </c>
      <c r="U58" s="47">
        <f t="shared" si="42"/>
        <v>2002.26</v>
      </c>
      <c r="V58" s="47">
        <f t="shared" si="43"/>
        <v>0</v>
      </c>
      <c r="W58" s="47">
        <f t="shared" si="44"/>
        <v>0</v>
      </c>
      <c r="X58" s="43">
        <f t="shared" si="45"/>
        <v>0</v>
      </c>
      <c r="Y58" s="43">
        <f t="shared" si="46"/>
        <v>0</v>
      </c>
      <c r="Z58" s="43">
        <f t="shared" si="47"/>
        <v>0</v>
      </c>
      <c r="AA58" s="43">
        <f t="shared" si="48"/>
        <v>0</v>
      </c>
      <c r="AB58" s="133"/>
      <c r="AC58" s="133"/>
      <c r="AD58" s="133"/>
      <c r="AE58" s="133"/>
      <c r="AF58" s="133"/>
      <c r="AG58" s="133"/>
      <c r="AJ58" s="133"/>
      <c r="AK58" s="133"/>
      <c r="AL58" s="133"/>
      <c r="AS58" s="43">
        <f t="shared" si="49"/>
        <v>0</v>
      </c>
      <c r="AU58" s="43">
        <f t="shared" si="50"/>
        <v>0</v>
      </c>
      <c r="BC58" s="2">
        <f t="shared" si="38"/>
        <v>0</v>
      </c>
      <c r="BE58" s="43">
        <f t="shared" si="39"/>
        <v>0</v>
      </c>
      <c r="BG58" s="43">
        <f t="shared" si="40"/>
        <v>0</v>
      </c>
      <c r="BJ58" s="43">
        <f t="shared" si="41"/>
        <v>0</v>
      </c>
      <c r="BM58" s="83"/>
      <c r="BN58" s="43">
        <f t="shared" si="51"/>
        <v>0</v>
      </c>
      <c r="BP58" s="64">
        <f t="shared" si="52"/>
        <v>0</v>
      </c>
    </row>
    <row r="59" spans="1:72" x14ac:dyDescent="0.25">
      <c r="A59" s="148"/>
      <c r="F59" s="3"/>
      <c r="G59" s="3"/>
      <c r="H59" s="2"/>
      <c r="L59" s="1">
        <v>10</v>
      </c>
      <c r="M59" s="1">
        <v>10</v>
      </c>
      <c r="N59" s="1">
        <f t="shared" si="36"/>
        <v>100</v>
      </c>
      <c r="O59" s="3">
        <f t="shared" si="37"/>
        <v>11.111111111111111</v>
      </c>
      <c r="U59" s="47">
        <f t="shared" si="42"/>
        <v>1962.9999999999998</v>
      </c>
      <c r="V59" s="47">
        <f t="shared" si="43"/>
        <v>0</v>
      </c>
      <c r="W59" s="47">
        <f t="shared" si="44"/>
        <v>0</v>
      </c>
      <c r="X59" s="43">
        <f t="shared" si="45"/>
        <v>0</v>
      </c>
      <c r="Y59" s="43">
        <f t="shared" si="46"/>
        <v>0</v>
      </c>
      <c r="Z59" s="43">
        <f t="shared" si="47"/>
        <v>0</v>
      </c>
      <c r="AA59" s="43">
        <f t="shared" si="48"/>
        <v>0</v>
      </c>
      <c r="AB59" s="133"/>
      <c r="AC59" s="133"/>
      <c r="AD59" s="133"/>
      <c r="AE59" s="133"/>
      <c r="AF59" s="133"/>
      <c r="AG59" s="133"/>
      <c r="AJ59" s="133"/>
      <c r="AK59" s="133"/>
      <c r="AL59" s="133"/>
      <c r="AS59" s="43">
        <f t="shared" si="49"/>
        <v>0</v>
      </c>
      <c r="AU59" s="43">
        <f t="shared" si="50"/>
        <v>0</v>
      </c>
      <c r="BC59" s="2">
        <f t="shared" si="38"/>
        <v>0</v>
      </c>
      <c r="BE59" s="43">
        <f t="shared" si="39"/>
        <v>0</v>
      </c>
      <c r="BG59" s="43">
        <f t="shared" si="40"/>
        <v>0</v>
      </c>
      <c r="BJ59" s="43">
        <f t="shared" si="41"/>
        <v>0</v>
      </c>
      <c r="BM59" s="83"/>
      <c r="BN59" s="43">
        <f t="shared" si="51"/>
        <v>0</v>
      </c>
      <c r="BP59" s="64">
        <f t="shared" si="52"/>
        <v>0</v>
      </c>
    </row>
    <row r="60" spans="1:72" x14ac:dyDescent="0.25">
      <c r="A60" s="148"/>
      <c r="B60" t="s">
        <v>5</v>
      </c>
      <c r="C60" s="2">
        <v>351</v>
      </c>
      <c r="D60" s="1">
        <v>23</v>
      </c>
      <c r="E60" s="1">
        <v>3</v>
      </c>
      <c r="F60" s="3">
        <f>C60*D60</f>
        <v>8073</v>
      </c>
      <c r="G60" s="3">
        <f>F60/9</f>
        <v>897</v>
      </c>
      <c r="H60" s="2">
        <f xml:space="preserve"> (G60* (E60 / 36))</f>
        <v>74.75</v>
      </c>
      <c r="I60" s="1">
        <v>110</v>
      </c>
      <c r="J60" s="1">
        <f xml:space="preserve"> ROUNDUP(((I60 * E60 * G60)/2000), -1)</f>
        <v>150</v>
      </c>
      <c r="K60" s="1" t="s">
        <v>60</v>
      </c>
      <c r="L60" s="1">
        <v>4</v>
      </c>
      <c r="M60" s="1">
        <v>4</v>
      </c>
      <c r="N60" s="1">
        <f t="shared" si="36"/>
        <v>16</v>
      </c>
      <c r="O60" s="3">
        <f t="shared" si="37"/>
        <v>1.7777777777777777</v>
      </c>
      <c r="P60" s="1">
        <v>8</v>
      </c>
      <c r="Q60" s="1">
        <v>1</v>
      </c>
      <c r="S60" s="47">
        <f t="shared" si="53"/>
        <v>24049.500000000004</v>
      </c>
      <c r="T60" s="192">
        <f t="shared" si="54"/>
        <v>3588</v>
      </c>
      <c r="U60" s="47">
        <f t="shared" si="42"/>
        <v>314.08</v>
      </c>
      <c r="V60" s="47">
        <f t="shared" si="43"/>
        <v>1085.3599999999999</v>
      </c>
      <c r="W60" s="47">
        <f t="shared" si="44"/>
        <v>0</v>
      </c>
      <c r="X60" s="43">
        <f t="shared" si="45"/>
        <v>0</v>
      </c>
      <c r="Y60" s="43">
        <f t="shared" si="46"/>
        <v>0</v>
      </c>
      <c r="Z60" s="43">
        <f t="shared" si="47"/>
        <v>0</v>
      </c>
      <c r="AA60" s="43">
        <f t="shared" si="48"/>
        <v>0</v>
      </c>
      <c r="AB60" s="133"/>
      <c r="AC60" s="133"/>
      <c r="AD60" s="133"/>
      <c r="AE60" s="133"/>
      <c r="AF60" s="133"/>
      <c r="AG60" s="133"/>
      <c r="AJ60" s="133"/>
      <c r="AK60" s="133"/>
      <c r="AL60" s="133"/>
      <c r="AS60" s="43">
        <f t="shared" si="49"/>
        <v>0</v>
      </c>
      <c r="AU60" s="43">
        <f t="shared" si="50"/>
        <v>0</v>
      </c>
      <c r="BC60" s="2">
        <f t="shared" si="38"/>
        <v>0</v>
      </c>
      <c r="BE60" s="43">
        <f t="shared" si="39"/>
        <v>0</v>
      </c>
      <c r="BG60" s="43">
        <f t="shared" si="40"/>
        <v>0</v>
      </c>
      <c r="BJ60" s="43">
        <f t="shared" si="41"/>
        <v>0</v>
      </c>
      <c r="BM60" s="83"/>
      <c r="BN60" s="43">
        <f t="shared" si="51"/>
        <v>0</v>
      </c>
      <c r="BP60" s="64">
        <f t="shared" si="52"/>
        <v>0</v>
      </c>
    </row>
    <row r="61" spans="1:72" x14ac:dyDescent="0.25">
      <c r="A61" s="148"/>
      <c r="B61" t="s">
        <v>6</v>
      </c>
      <c r="C61" s="2">
        <v>2010</v>
      </c>
      <c r="D61" s="1">
        <v>23</v>
      </c>
      <c r="E61" s="1">
        <v>3</v>
      </c>
      <c r="F61" s="3">
        <f>C61*D61</f>
        <v>46230</v>
      </c>
      <c r="G61" s="3">
        <f>F61/9</f>
        <v>5136.666666666667</v>
      </c>
      <c r="H61" s="2">
        <f xml:space="preserve"> (G61* (E61 / 36))</f>
        <v>428.05555555555554</v>
      </c>
      <c r="I61" s="1">
        <v>110</v>
      </c>
      <c r="J61" s="1">
        <f xml:space="preserve"> ROUNDUP(((I61 * E61 * G61)/2000), -1)</f>
        <v>850</v>
      </c>
      <c r="K61" s="1" t="s">
        <v>60</v>
      </c>
      <c r="L61" s="1">
        <v>8</v>
      </c>
      <c r="M61" s="1">
        <v>10</v>
      </c>
      <c r="N61" s="1">
        <f t="shared" si="36"/>
        <v>80</v>
      </c>
      <c r="O61" s="3">
        <f t="shared" si="37"/>
        <v>8.8888888888888893</v>
      </c>
      <c r="P61" s="1">
        <v>8</v>
      </c>
      <c r="Q61" s="1">
        <v>1</v>
      </c>
      <c r="S61" s="47">
        <f t="shared" si="53"/>
        <v>136280.5</v>
      </c>
      <c r="T61" s="192">
        <f t="shared" si="54"/>
        <v>20546.666666666668</v>
      </c>
      <c r="U61" s="47">
        <f t="shared" si="42"/>
        <v>1570.3999999999999</v>
      </c>
      <c r="V61" s="47">
        <f t="shared" si="43"/>
        <v>1085.3599999999999</v>
      </c>
      <c r="W61" s="47">
        <f t="shared" si="44"/>
        <v>0</v>
      </c>
      <c r="X61" s="43">
        <f t="shared" si="45"/>
        <v>0</v>
      </c>
      <c r="Y61" s="43">
        <f t="shared" si="46"/>
        <v>0</v>
      </c>
      <c r="Z61" s="43">
        <f t="shared" si="47"/>
        <v>0</v>
      </c>
      <c r="AA61" s="43">
        <f t="shared" si="48"/>
        <v>0</v>
      </c>
      <c r="AB61" s="133"/>
      <c r="AC61" s="133"/>
      <c r="AD61" s="133"/>
      <c r="AE61" s="133"/>
      <c r="AF61" s="133"/>
      <c r="AG61" s="133"/>
      <c r="AJ61" s="133"/>
      <c r="AK61" s="133"/>
      <c r="AL61" s="133"/>
      <c r="AS61" s="43">
        <f t="shared" si="49"/>
        <v>0</v>
      </c>
      <c r="AU61" s="43">
        <f t="shared" si="50"/>
        <v>0</v>
      </c>
      <c r="BC61" s="2">
        <f t="shared" si="38"/>
        <v>0</v>
      </c>
      <c r="BE61" s="43">
        <f t="shared" si="39"/>
        <v>0</v>
      </c>
      <c r="BG61" s="43">
        <f t="shared" si="40"/>
        <v>0</v>
      </c>
      <c r="BJ61" s="43">
        <f t="shared" si="41"/>
        <v>0</v>
      </c>
      <c r="BM61" s="83"/>
      <c r="BN61" s="43">
        <f t="shared" si="51"/>
        <v>0</v>
      </c>
      <c r="BP61" s="64">
        <f t="shared" si="52"/>
        <v>0</v>
      </c>
    </row>
    <row r="62" spans="1:72" x14ac:dyDescent="0.25">
      <c r="A62" s="148"/>
      <c r="B62" t="s">
        <v>13</v>
      </c>
      <c r="C62" s="2">
        <v>2810</v>
      </c>
      <c r="D62" s="1">
        <v>17</v>
      </c>
      <c r="E62" s="1">
        <v>3</v>
      </c>
      <c r="F62" s="3">
        <f>C62*D62</f>
        <v>47770</v>
      </c>
      <c r="G62" s="3">
        <f>F62/9</f>
        <v>5307.7777777777774</v>
      </c>
      <c r="H62" s="2">
        <f xml:space="preserve"> (G62* (E62 / 36))</f>
        <v>442.31481481481478</v>
      </c>
      <c r="I62" s="1">
        <v>110</v>
      </c>
      <c r="J62" s="1">
        <f xml:space="preserve"> ROUNDUP(((I62 * E62 * G62)/2000), -1)</f>
        <v>880</v>
      </c>
      <c r="K62" s="1" t="s">
        <v>60</v>
      </c>
      <c r="L62" s="1">
        <v>93</v>
      </c>
      <c r="M62" s="1">
        <v>7</v>
      </c>
      <c r="N62" s="1">
        <f t="shared" ref="N62:N67" si="55">L62 * M62</f>
        <v>651</v>
      </c>
      <c r="O62" s="3">
        <f t="shared" ref="O62:O67" si="56">N62 / 9</f>
        <v>72.333333333333329</v>
      </c>
      <c r="S62" s="47">
        <f t="shared" si="53"/>
        <v>141090.40000000002</v>
      </c>
      <c r="T62" s="192">
        <f t="shared" si="54"/>
        <v>21231.111111111109</v>
      </c>
      <c r="U62" s="47">
        <f t="shared" si="42"/>
        <v>12779.129999999997</v>
      </c>
      <c r="V62" s="47">
        <f t="shared" si="43"/>
        <v>0</v>
      </c>
      <c r="W62" s="47">
        <f t="shared" si="44"/>
        <v>0</v>
      </c>
      <c r="X62" s="43">
        <f t="shared" si="45"/>
        <v>0</v>
      </c>
      <c r="Y62" s="43">
        <f t="shared" si="46"/>
        <v>0</v>
      </c>
      <c r="Z62" s="43">
        <f t="shared" si="47"/>
        <v>0</v>
      </c>
      <c r="AA62" s="43">
        <f t="shared" si="48"/>
        <v>0</v>
      </c>
      <c r="AB62" s="133" t="s">
        <v>166</v>
      </c>
      <c r="AC62" s="133"/>
      <c r="AD62" s="133"/>
      <c r="AE62" s="133" t="s">
        <v>166</v>
      </c>
      <c r="AF62" s="133"/>
      <c r="AG62" s="133"/>
      <c r="AJ62" s="133" t="s">
        <v>166</v>
      </c>
      <c r="AK62" s="133"/>
      <c r="AL62" s="133"/>
      <c r="AS62" s="43">
        <f t="shared" si="49"/>
        <v>0</v>
      </c>
      <c r="AU62" s="43">
        <f t="shared" si="50"/>
        <v>0</v>
      </c>
      <c r="BC62" s="2">
        <f t="shared" si="38"/>
        <v>0</v>
      </c>
      <c r="BD62" s="47" t="s">
        <v>166</v>
      </c>
      <c r="BE62" s="43">
        <f t="shared" si="39"/>
        <v>5854.166666666667</v>
      </c>
      <c r="BF62" s="47" t="s">
        <v>166</v>
      </c>
      <c r="BG62" s="43">
        <f t="shared" si="40"/>
        <v>884.15479166666671</v>
      </c>
      <c r="BH62" s="47" t="s">
        <v>166</v>
      </c>
      <c r="BI62" s="2">
        <v>1</v>
      </c>
      <c r="BJ62" s="43">
        <f t="shared" si="41"/>
        <v>352.79250000000002</v>
      </c>
      <c r="BM62" s="83"/>
      <c r="BN62" s="43">
        <f t="shared" si="51"/>
        <v>0</v>
      </c>
      <c r="BP62" s="64">
        <f t="shared" si="52"/>
        <v>0</v>
      </c>
    </row>
    <row r="63" spans="1:72" x14ac:dyDescent="0.25">
      <c r="A63" s="148"/>
      <c r="F63" s="3"/>
      <c r="G63" s="3"/>
      <c r="H63" s="2"/>
      <c r="L63" s="1">
        <v>82</v>
      </c>
      <c r="M63" s="1">
        <v>6</v>
      </c>
      <c r="N63" s="1">
        <f t="shared" si="55"/>
        <v>492</v>
      </c>
      <c r="O63" s="3">
        <f t="shared" si="56"/>
        <v>54.666666666666664</v>
      </c>
      <c r="U63" s="47">
        <f t="shared" si="42"/>
        <v>9657.9599999999991</v>
      </c>
      <c r="V63" s="47">
        <f t="shared" si="43"/>
        <v>0</v>
      </c>
      <c r="W63" s="47">
        <f t="shared" si="44"/>
        <v>0</v>
      </c>
      <c r="X63" s="43">
        <f t="shared" si="45"/>
        <v>0</v>
      </c>
      <c r="Y63" s="43">
        <f t="shared" si="46"/>
        <v>0</v>
      </c>
      <c r="Z63" s="43">
        <f t="shared" si="47"/>
        <v>0</v>
      </c>
      <c r="AA63" s="43">
        <f t="shared" si="48"/>
        <v>0</v>
      </c>
      <c r="AB63" s="133"/>
      <c r="AC63" s="133"/>
      <c r="AD63" s="133"/>
      <c r="AE63" s="133"/>
      <c r="AF63" s="133"/>
      <c r="AG63" s="133"/>
      <c r="AJ63" s="133"/>
      <c r="AK63" s="133"/>
      <c r="AL63" s="133"/>
      <c r="AS63" s="43">
        <f t="shared" si="49"/>
        <v>0</v>
      </c>
      <c r="AU63" s="43">
        <f t="shared" si="50"/>
        <v>0</v>
      </c>
      <c r="BC63" s="2">
        <f t="shared" si="38"/>
        <v>0</v>
      </c>
      <c r="BE63" s="43">
        <f t="shared" si="39"/>
        <v>0</v>
      </c>
      <c r="BG63" s="43">
        <f t="shared" si="40"/>
        <v>0</v>
      </c>
      <c r="BJ63" s="43">
        <f t="shared" si="41"/>
        <v>0</v>
      </c>
      <c r="BM63" s="83"/>
      <c r="BN63" s="43">
        <f t="shared" si="51"/>
        <v>0</v>
      </c>
      <c r="BP63" s="64">
        <f t="shared" si="52"/>
        <v>0</v>
      </c>
    </row>
    <row r="64" spans="1:72" x14ac:dyDescent="0.25">
      <c r="A64" s="148"/>
      <c r="F64" s="3"/>
      <c r="G64" s="3"/>
      <c r="H64" s="2"/>
      <c r="L64" s="1">
        <v>50</v>
      </c>
      <c r="M64" s="1">
        <v>8</v>
      </c>
      <c r="N64" s="1">
        <f t="shared" si="55"/>
        <v>400</v>
      </c>
      <c r="O64" s="3">
        <f t="shared" si="56"/>
        <v>44.444444444444443</v>
      </c>
      <c r="U64" s="47">
        <f t="shared" si="42"/>
        <v>7851.9999999999991</v>
      </c>
      <c r="V64" s="47">
        <f t="shared" si="43"/>
        <v>0</v>
      </c>
      <c r="W64" s="47">
        <f t="shared" si="44"/>
        <v>0</v>
      </c>
      <c r="X64" s="43">
        <f t="shared" si="45"/>
        <v>0</v>
      </c>
      <c r="Y64" s="43">
        <f t="shared" si="46"/>
        <v>0</v>
      </c>
      <c r="Z64" s="43">
        <f t="shared" si="47"/>
        <v>0</v>
      </c>
      <c r="AA64" s="43">
        <f t="shared" si="48"/>
        <v>0</v>
      </c>
      <c r="AB64" s="133"/>
      <c r="AC64" s="133"/>
      <c r="AD64" s="133"/>
      <c r="AE64" s="133"/>
      <c r="AF64" s="133"/>
      <c r="AG64" s="133"/>
      <c r="AJ64" s="133"/>
      <c r="AK64" s="133"/>
      <c r="AL64" s="133"/>
      <c r="AS64" s="43">
        <f t="shared" si="49"/>
        <v>0</v>
      </c>
      <c r="AU64" s="43">
        <f t="shared" si="50"/>
        <v>0</v>
      </c>
      <c r="BC64" s="2">
        <f t="shared" si="38"/>
        <v>0</v>
      </c>
      <c r="BE64" s="43">
        <f t="shared" si="39"/>
        <v>0</v>
      </c>
      <c r="BG64" s="43">
        <f t="shared" si="40"/>
        <v>0</v>
      </c>
      <c r="BJ64" s="43">
        <f t="shared" si="41"/>
        <v>0</v>
      </c>
      <c r="BM64" s="83"/>
      <c r="BN64" s="43">
        <f t="shared" si="51"/>
        <v>0</v>
      </c>
      <c r="BP64" s="64">
        <f t="shared" si="52"/>
        <v>0</v>
      </c>
    </row>
    <row r="65" spans="1:68" x14ac:dyDescent="0.25">
      <c r="A65" s="148"/>
      <c r="F65" s="3"/>
      <c r="G65" s="3"/>
      <c r="H65" s="2"/>
      <c r="L65" s="1">
        <v>131</v>
      </c>
      <c r="M65" s="1">
        <v>8</v>
      </c>
      <c r="N65" s="1">
        <f t="shared" si="55"/>
        <v>1048</v>
      </c>
      <c r="O65" s="3">
        <f t="shared" si="56"/>
        <v>116.44444444444444</v>
      </c>
      <c r="U65" s="47">
        <f t="shared" si="42"/>
        <v>20572.239999999998</v>
      </c>
      <c r="V65" s="47">
        <f t="shared" si="43"/>
        <v>0</v>
      </c>
      <c r="W65" s="47">
        <f t="shared" si="44"/>
        <v>0</v>
      </c>
      <c r="X65" s="43">
        <f t="shared" si="45"/>
        <v>0</v>
      </c>
      <c r="Y65" s="43">
        <f t="shared" si="46"/>
        <v>0</v>
      </c>
      <c r="Z65" s="43">
        <f t="shared" si="47"/>
        <v>0</v>
      </c>
      <c r="AA65" s="43">
        <f t="shared" si="48"/>
        <v>0</v>
      </c>
      <c r="AB65" s="133"/>
      <c r="AC65" s="133"/>
      <c r="AD65" s="133"/>
      <c r="AE65" s="133"/>
      <c r="AF65" s="133"/>
      <c r="AG65" s="133"/>
      <c r="AJ65" s="133"/>
      <c r="AK65" s="133"/>
      <c r="AL65" s="133"/>
      <c r="AS65" s="43">
        <f t="shared" si="49"/>
        <v>0</v>
      </c>
      <c r="AU65" s="43">
        <f t="shared" si="50"/>
        <v>0</v>
      </c>
      <c r="BC65" s="2">
        <f t="shared" si="38"/>
        <v>0</v>
      </c>
      <c r="BE65" s="43">
        <f t="shared" si="39"/>
        <v>0</v>
      </c>
      <c r="BG65" s="43">
        <f t="shared" si="40"/>
        <v>0</v>
      </c>
      <c r="BJ65" s="43">
        <f t="shared" si="41"/>
        <v>0</v>
      </c>
      <c r="BM65" s="83"/>
      <c r="BN65" s="43">
        <f t="shared" si="51"/>
        <v>0</v>
      </c>
      <c r="BP65" s="64">
        <f t="shared" si="52"/>
        <v>0</v>
      </c>
    </row>
    <row r="66" spans="1:68" x14ac:dyDescent="0.25">
      <c r="A66" s="148"/>
      <c r="F66" s="3"/>
      <c r="G66" s="3"/>
      <c r="H66" s="2"/>
      <c r="L66" s="1">
        <v>56</v>
      </c>
      <c r="M66" s="1">
        <v>8</v>
      </c>
      <c r="N66" s="1">
        <f t="shared" si="55"/>
        <v>448</v>
      </c>
      <c r="O66" s="3">
        <f t="shared" si="56"/>
        <v>49.777777777777779</v>
      </c>
      <c r="U66" s="47">
        <f t="shared" si="42"/>
        <v>8794.24</v>
      </c>
      <c r="V66" s="47">
        <f t="shared" si="43"/>
        <v>0</v>
      </c>
      <c r="W66" s="47">
        <f t="shared" si="44"/>
        <v>0</v>
      </c>
      <c r="X66" s="43">
        <f t="shared" si="45"/>
        <v>0</v>
      </c>
      <c r="Y66" s="43">
        <f t="shared" si="46"/>
        <v>0</v>
      </c>
      <c r="Z66" s="43">
        <f t="shared" si="47"/>
        <v>0</v>
      </c>
      <c r="AA66" s="43">
        <f t="shared" si="48"/>
        <v>0</v>
      </c>
      <c r="AB66" s="133"/>
      <c r="AC66" s="133"/>
      <c r="AD66" s="133"/>
      <c r="AE66" s="133"/>
      <c r="AF66" s="133"/>
      <c r="AG66" s="133"/>
      <c r="AJ66" s="133"/>
      <c r="AK66" s="133"/>
      <c r="AL66" s="133"/>
      <c r="AS66" s="43">
        <f t="shared" si="49"/>
        <v>0</v>
      </c>
      <c r="AU66" s="43">
        <f t="shared" si="50"/>
        <v>0</v>
      </c>
      <c r="BC66" s="2">
        <f t="shared" si="38"/>
        <v>0</v>
      </c>
      <c r="BE66" s="43">
        <f t="shared" si="39"/>
        <v>0</v>
      </c>
      <c r="BG66" s="43">
        <f t="shared" si="40"/>
        <v>0</v>
      </c>
      <c r="BJ66" s="43">
        <f t="shared" si="41"/>
        <v>0</v>
      </c>
      <c r="BM66" s="83"/>
      <c r="BN66" s="43">
        <f t="shared" si="51"/>
        <v>0</v>
      </c>
      <c r="BP66" s="64">
        <f t="shared" si="52"/>
        <v>0</v>
      </c>
    </row>
    <row r="67" spans="1:68" x14ac:dyDescent="0.25">
      <c r="A67" s="148"/>
      <c r="B67" t="s">
        <v>14</v>
      </c>
      <c r="C67" s="2">
        <v>1261</v>
      </c>
      <c r="D67" s="1">
        <v>20</v>
      </c>
      <c r="E67" s="1">
        <v>3</v>
      </c>
      <c r="F67" s="3">
        <f>C67*D67</f>
        <v>25220</v>
      </c>
      <c r="G67" s="3">
        <f>F67/9</f>
        <v>2802.2222222222222</v>
      </c>
      <c r="H67" s="2">
        <f xml:space="preserve"> (G67* (E67 / 36))</f>
        <v>233.5185185185185</v>
      </c>
      <c r="I67" s="1">
        <v>110</v>
      </c>
      <c r="J67" s="1">
        <f xml:space="preserve"> ROUNDUP(((I67 * E67 * G67)/2000), -1)</f>
        <v>470</v>
      </c>
      <c r="K67" s="1" t="s">
        <v>60</v>
      </c>
      <c r="L67" s="1">
        <v>8</v>
      </c>
      <c r="M67" s="1">
        <v>20</v>
      </c>
      <c r="N67" s="1">
        <f t="shared" si="55"/>
        <v>160</v>
      </c>
      <c r="O67" s="3">
        <f t="shared" si="56"/>
        <v>17.777777777777779</v>
      </c>
      <c r="Q67" s="1">
        <v>1</v>
      </c>
      <c r="S67" s="47">
        <f t="shared" si="53"/>
        <v>75355.100000000006</v>
      </c>
      <c r="T67" s="192">
        <f t="shared" si="54"/>
        <v>11208.888888888889</v>
      </c>
      <c r="U67" s="47">
        <f t="shared" si="42"/>
        <v>3140.7999999999997</v>
      </c>
      <c r="V67" s="47">
        <f t="shared" si="43"/>
        <v>0</v>
      </c>
      <c r="W67" s="47">
        <f t="shared" si="44"/>
        <v>0</v>
      </c>
      <c r="X67" s="43">
        <f t="shared" si="45"/>
        <v>0</v>
      </c>
      <c r="Y67" s="43">
        <f t="shared" si="46"/>
        <v>0</v>
      </c>
      <c r="Z67" s="43">
        <f t="shared" si="47"/>
        <v>0</v>
      </c>
      <c r="AA67" s="43">
        <f t="shared" si="48"/>
        <v>0</v>
      </c>
      <c r="AB67" s="133" t="s">
        <v>153</v>
      </c>
      <c r="AC67" s="133"/>
      <c r="AD67" s="133"/>
      <c r="AE67" s="133" t="s">
        <v>153</v>
      </c>
      <c r="AF67" s="133"/>
      <c r="AG67" s="133"/>
      <c r="AJ67" s="133" t="s">
        <v>166</v>
      </c>
      <c r="AK67" s="133"/>
      <c r="AL67" s="133"/>
      <c r="AS67" s="43">
        <f t="shared" si="49"/>
        <v>0</v>
      </c>
      <c r="AU67" s="43">
        <f t="shared" si="50"/>
        <v>0</v>
      </c>
      <c r="BC67" s="2">
        <f t="shared" si="38"/>
        <v>0</v>
      </c>
      <c r="BE67" s="43">
        <f t="shared" si="39"/>
        <v>0</v>
      </c>
      <c r="BG67" s="43">
        <f t="shared" si="40"/>
        <v>0</v>
      </c>
      <c r="BH67" s="47" t="s">
        <v>166</v>
      </c>
      <c r="BI67" s="2">
        <v>1</v>
      </c>
      <c r="BJ67" s="43">
        <f t="shared" si="41"/>
        <v>415.05</v>
      </c>
      <c r="BM67" s="83"/>
      <c r="BN67" s="43">
        <f t="shared" si="51"/>
        <v>0</v>
      </c>
      <c r="BP67" s="64">
        <f t="shared" si="52"/>
        <v>0</v>
      </c>
    </row>
    <row r="68" spans="1:68" x14ac:dyDescent="0.25">
      <c r="A68" s="148"/>
      <c r="F68" s="3"/>
      <c r="G68" s="3"/>
      <c r="H68" s="2"/>
      <c r="I68" s="1">
        <v>110</v>
      </c>
      <c r="L68" s="1">
        <v>14</v>
      </c>
      <c r="M68" s="1">
        <v>20</v>
      </c>
      <c r="N68" s="1">
        <f>L68 * M68</f>
        <v>280</v>
      </c>
      <c r="O68" s="3">
        <f>N68 / 9</f>
        <v>31.111111111111111</v>
      </c>
      <c r="U68" s="47">
        <f t="shared" si="42"/>
        <v>5496.4</v>
      </c>
      <c r="V68" s="47">
        <f t="shared" si="43"/>
        <v>0</v>
      </c>
      <c r="W68" s="47">
        <f t="shared" si="44"/>
        <v>0</v>
      </c>
      <c r="X68" s="43">
        <f t="shared" si="45"/>
        <v>0</v>
      </c>
      <c r="Y68" s="43">
        <f t="shared" si="46"/>
        <v>0</v>
      </c>
      <c r="Z68" s="43">
        <f t="shared" si="47"/>
        <v>0</v>
      </c>
      <c r="AA68" s="43">
        <f t="shared" si="48"/>
        <v>0</v>
      </c>
      <c r="AB68" s="133"/>
      <c r="AC68" s="133"/>
      <c r="AD68" s="133"/>
      <c r="AE68" s="133"/>
      <c r="AF68" s="133"/>
      <c r="AG68" s="133"/>
      <c r="AJ68" s="133"/>
      <c r="AK68" s="133"/>
      <c r="AL68" s="133"/>
      <c r="AS68" s="43">
        <f t="shared" si="49"/>
        <v>0</v>
      </c>
      <c r="AU68" s="43">
        <f t="shared" si="50"/>
        <v>0</v>
      </c>
      <c r="BC68" s="2">
        <f t="shared" si="38"/>
        <v>0</v>
      </c>
      <c r="BE68" s="43">
        <f t="shared" si="39"/>
        <v>0</v>
      </c>
      <c r="BG68" s="43">
        <f t="shared" si="40"/>
        <v>0</v>
      </c>
      <c r="BJ68" s="43">
        <f t="shared" si="41"/>
        <v>0</v>
      </c>
      <c r="BM68" s="83"/>
      <c r="BN68" s="43">
        <f t="shared" si="51"/>
        <v>0</v>
      </c>
      <c r="BP68" s="64">
        <f t="shared" si="52"/>
        <v>0</v>
      </c>
    </row>
    <row r="69" spans="1:68" ht="13.5" customHeight="1" x14ac:dyDescent="0.25">
      <c r="A69" s="148"/>
      <c r="B69" t="s">
        <v>26</v>
      </c>
      <c r="C69" s="2">
        <v>2099.89</v>
      </c>
      <c r="D69" s="1">
        <v>23</v>
      </c>
      <c r="E69" s="1">
        <v>3</v>
      </c>
      <c r="F69" s="3">
        <f>C69*D69</f>
        <v>48297.469999999994</v>
      </c>
      <c r="G69" s="3">
        <f>F69/9</f>
        <v>5366.3855555555547</v>
      </c>
      <c r="H69" s="2">
        <f xml:space="preserve"> (G69* (E69 / 36))</f>
        <v>447.19879629629622</v>
      </c>
      <c r="I69" s="1">
        <v>110</v>
      </c>
      <c r="J69" s="1">
        <f xml:space="preserve"> ROUNDUP(((I69 * E69 * G69)/2000), -1)</f>
        <v>890</v>
      </c>
      <c r="K69" s="1" t="s">
        <v>60</v>
      </c>
      <c r="L69" s="1">
        <v>10</v>
      </c>
      <c r="M69" s="1">
        <v>23</v>
      </c>
      <c r="N69" s="1">
        <f>L69 * M69</f>
        <v>230</v>
      </c>
      <c r="O69" s="3">
        <f>N69 / 9</f>
        <v>25.555555555555557</v>
      </c>
      <c r="S69" s="47">
        <f t="shared" si="53"/>
        <v>142693.70000000001</v>
      </c>
      <c r="T69" s="192">
        <f t="shared" si="54"/>
        <v>21465.542222222219</v>
      </c>
      <c r="U69" s="47">
        <f t="shared" si="42"/>
        <v>4514.8999999999996</v>
      </c>
      <c r="V69" s="47">
        <f t="shared" si="43"/>
        <v>0</v>
      </c>
      <c r="W69" s="47">
        <f t="shared" si="44"/>
        <v>0</v>
      </c>
      <c r="X69" s="43">
        <f t="shared" si="45"/>
        <v>0</v>
      </c>
      <c r="Y69" s="43">
        <f t="shared" si="46"/>
        <v>0</v>
      </c>
      <c r="Z69" s="43">
        <f t="shared" si="47"/>
        <v>0</v>
      </c>
      <c r="AA69" s="43">
        <f t="shared" si="48"/>
        <v>0</v>
      </c>
      <c r="AB69" s="133"/>
      <c r="AC69" s="133"/>
      <c r="AD69" s="133"/>
      <c r="AE69" s="133"/>
      <c r="AF69" s="133"/>
      <c r="AG69" s="133"/>
      <c r="AJ69" s="133" t="s">
        <v>166</v>
      </c>
      <c r="AK69" s="133"/>
      <c r="AL69" s="133"/>
      <c r="AS69" s="43">
        <f t="shared" si="49"/>
        <v>0</v>
      </c>
      <c r="AU69" s="43">
        <f t="shared" si="50"/>
        <v>0</v>
      </c>
      <c r="BC69" s="2">
        <f t="shared" si="38"/>
        <v>0</v>
      </c>
      <c r="BE69" s="43">
        <f t="shared" si="39"/>
        <v>0</v>
      </c>
      <c r="BG69" s="43">
        <f t="shared" si="40"/>
        <v>0</v>
      </c>
      <c r="BH69" s="47" t="s">
        <v>166</v>
      </c>
      <c r="BI69" s="2">
        <v>3</v>
      </c>
      <c r="BJ69" s="43">
        <f t="shared" si="41"/>
        <v>1431.9225000000001</v>
      </c>
      <c r="BM69" s="83"/>
      <c r="BN69" s="43">
        <f t="shared" si="51"/>
        <v>0</v>
      </c>
      <c r="BP69" s="64">
        <f t="shared" si="52"/>
        <v>0</v>
      </c>
    </row>
    <row r="70" spans="1:68" ht="12.75" customHeight="1" x14ac:dyDescent="0.25">
      <c r="A70" s="148"/>
      <c r="F70" s="3"/>
      <c r="G70" s="3"/>
      <c r="H70" s="2"/>
      <c r="L70" s="1">
        <v>95</v>
      </c>
      <c r="M70" s="1">
        <v>10</v>
      </c>
      <c r="N70" s="1">
        <f>L70 * M70</f>
        <v>950</v>
      </c>
      <c r="O70" s="3">
        <f>N70 / 9</f>
        <v>105.55555555555556</v>
      </c>
      <c r="U70" s="47">
        <f t="shared" si="42"/>
        <v>18648.5</v>
      </c>
      <c r="V70" s="47">
        <f t="shared" si="43"/>
        <v>0</v>
      </c>
      <c r="W70" s="47">
        <f t="shared" si="44"/>
        <v>0</v>
      </c>
      <c r="X70" s="43">
        <f t="shared" si="45"/>
        <v>0</v>
      </c>
      <c r="Y70" s="43">
        <f t="shared" si="46"/>
        <v>0</v>
      </c>
      <c r="Z70" s="43">
        <f t="shared" si="47"/>
        <v>0</v>
      </c>
      <c r="AA70" s="43">
        <f t="shared" si="48"/>
        <v>0</v>
      </c>
      <c r="AB70" s="133"/>
      <c r="AC70" s="133"/>
      <c r="AD70" s="133"/>
      <c r="AE70" s="133"/>
      <c r="AF70" s="133"/>
      <c r="AG70" s="133"/>
      <c r="AJ70" s="133"/>
      <c r="AK70" s="133"/>
      <c r="AL70" s="133"/>
      <c r="AS70" s="43">
        <f t="shared" si="49"/>
        <v>0</v>
      </c>
      <c r="AU70" s="43">
        <f t="shared" si="50"/>
        <v>0</v>
      </c>
      <c r="BC70" s="2">
        <f t="shared" si="38"/>
        <v>0</v>
      </c>
      <c r="BE70" s="43">
        <f t="shared" si="39"/>
        <v>0</v>
      </c>
      <c r="BG70" s="43">
        <f t="shared" si="40"/>
        <v>0</v>
      </c>
      <c r="BJ70" s="43">
        <f t="shared" si="41"/>
        <v>0</v>
      </c>
      <c r="BM70" s="83"/>
      <c r="BN70" s="43">
        <f t="shared" si="51"/>
        <v>0</v>
      </c>
      <c r="BP70" s="64">
        <f t="shared" si="52"/>
        <v>0</v>
      </c>
    </row>
    <row r="71" spans="1:68" x14ac:dyDescent="0.25">
      <c r="A71" s="148"/>
      <c r="B71" t="s">
        <v>27</v>
      </c>
      <c r="C71" s="2">
        <v>544.67999999999995</v>
      </c>
      <c r="D71" s="1">
        <v>23</v>
      </c>
      <c r="E71" s="1">
        <v>3</v>
      </c>
      <c r="F71" s="3">
        <f t="shared" ref="F71:F74" si="57">C71*D71</f>
        <v>12527.64</v>
      </c>
      <c r="G71" s="3">
        <f t="shared" ref="G71:G74" si="58">F71/9</f>
        <v>1391.96</v>
      </c>
      <c r="H71" s="2">
        <f t="shared" ref="H71:H74" si="59" xml:space="preserve"> (G71* (E71 / 36))</f>
        <v>115.99666666666667</v>
      </c>
      <c r="I71" s="1">
        <v>110</v>
      </c>
      <c r="J71" s="1">
        <f t="shared" ref="J71:J74" si="60" xml:space="preserve"> ROUNDUP(((I71 * E71 * G71)/2000), -1)</f>
        <v>230</v>
      </c>
      <c r="K71" s="1" t="s">
        <v>60</v>
      </c>
      <c r="Q71" s="1">
        <v>1</v>
      </c>
      <c r="S71" s="47">
        <f t="shared" si="53"/>
        <v>36875.9</v>
      </c>
      <c r="T71" s="192">
        <f t="shared" si="54"/>
        <v>5567.84</v>
      </c>
      <c r="U71" s="47">
        <f t="shared" si="42"/>
        <v>0</v>
      </c>
      <c r="V71" s="47">
        <f t="shared" si="43"/>
        <v>0</v>
      </c>
      <c r="W71" s="47">
        <f t="shared" si="44"/>
        <v>0</v>
      </c>
      <c r="X71" s="43">
        <f t="shared" si="45"/>
        <v>0</v>
      </c>
      <c r="Y71" s="43">
        <f t="shared" si="46"/>
        <v>0</v>
      </c>
      <c r="Z71" s="43">
        <f t="shared" si="47"/>
        <v>0</v>
      </c>
      <c r="AA71" s="43">
        <f t="shared" si="48"/>
        <v>0</v>
      </c>
      <c r="AB71" s="133"/>
      <c r="AC71" s="133"/>
      <c r="AD71" s="133"/>
      <c r="AE71" s="133"/>
      <c r="AF71" s="133"/>
      <c r="AG71" s="133"/>
      <c r="AJ71" s="133"/>
      <c r="AK71" s="133"/>
      <c r="AL71" s="133"/>
      <c r="AS71" s="43">
        <f t="shared" si="49"/>
        <v>0</v>
      </c>
      <c r="AU71" s="43">
        <f t="shared" si="50"/>
        <v>0</v>
      </c>
      <c r="BC71" s="2">
        <f t="shared" si="38"/>
        <v>0</v>
      </c>
      <c r="BE71" s="43">
        <f t="shared" si="39"/>
        <v>0</v>
      </c>
      <c r="BG71" s="43">
        <f t="shared" si="40"/>
        <v>0</v>
      </c>
      <c r="BH71" s="47" t="s">
        <v>166</v>
      </c>
      <c r="BI71" s="2">
        <v>1</v>
      </c>
      <c r="BJ71" s="43">
        <f t="shared" si="41"/>
        <v>477.3075</v>
      </c>
      <c r="BM71" s="83"/>
      <c r="BN71" s="43">
        <f t="shared" si="51"/>
        <v>0</v>
      </c>
      <c r="BP71" s="64">
        <f t="shared" si="52"/>
        <v>0</v>
      </c>
    </row>
    <row r="72" spans="1:68" x14ac:dyDescent="0.25">
      <c r="A72" s="148"/>
      <c r="B72" t="s">
        <v>28</v>
      </c>
      <c r="C72" s="2">
        <v>284.70999999999998</v>
      </c>
      <c r="D72" s="1">
        <v>23</v>
      </c>
      <c r="E72" s="1">
        <v>3</v>
      </c>
      <c r="F72" s="3">
        <f t="shared" si="57"/>
        <v>6548.33</v>
      </c>
      <c r="G72" s="3">
        <f t="shared" si="58"/>
        <v>727.59222222222218</v>
      </c>
      <c r="H72" s="2">
        <f t="shared" si="59"/>
        <v>60.632685185185181</v>
      </c>
      <c r="I72" s="1">
        <v>110</v>
      </c>
      <c r="J72" s="1">
        <f t="shared" si="60"/>
        <v>130</v>
      </c>
      <c r="K72" s="1" t="s">
        <v>60</v>
      </c>
      <c r="L72" s="1">
        <v>12</v>
      </c>
      <c r="M72" s="1">
        <v>23</v>
      </c>
      <c r="N72" s="1">
        <f>L72 * M72</f>
        <v>276</v>
      </c>
      <c r="O72" s="3">
        <f>N72 / 9</f>
        <v>30.666666666666668</v>
      </c>
      <c r="Q72" s="1">
        <v>1</v>
      </c>
      <c r="S72" s="47">
        <f t="shared" si="53"/>
        <v>20842.900000000001</v>
      </c>
      <c r="T72" s="192">
        <f t="shared" si="54"/>
        <v>2910.3688888888887</v>
      </c>
      <c r="U72" s="47">
        <f t="shared" si="42"/>
        <v>5417.88</v>
      </c>
      <c r="V72" s="47">
        <f t="shared" si="43"/>
        <v>0</v>
      </c>
      <c r="W72" s="47">
        <f t="shared" si="44"/>
        <v>0</v>
      </c>
      <c r="X72" s="43">
        <f t="shared" si="45"/>
        <v>0</v>
      </c>
      <c r="Y72" s="43">
        <f t="shared" si="46"/>
        <v>0</v>
      </c>
      <c r="Z72" s="43">
        <f t="shared" si="47"/>
        <v>0</v>
      </c>
      <c r="AA72" s="43">
        <f t="shared" si="48"/>
        <v>0</v>
      </c>
      <c r="AB72" s="133"/>
      <c r="AC72" s="133"/>
      <c r="AD72" s="133"/>
      <c r="AE72" s="133"/>
      <c r="AF72" s="133"/>
      <c r="AG72" s="133"/>
      <c r="AJ72" s="133"/>
      <c r="AK72" s="133"/>
      <c r="AL72" s="133"/>
      <c r="AS72" s="43">
        <f t="shared" si="49"/>
        <v>0</v>
      </c>
      <c r="AU72" s="43">
        <f t="shared" si="50"/>
        <v>0</v>
      </c>
      <c r="BC72" s="2">
        <f t="shared" si="38"/>
        <v>0</v>
      </c>
      <c r="BE72" s="43">
        <f t="shared" si="39"/>
        <v>0</v>
      </c>
      <c r="BG72" s="43">
        <f t="shared" si="40"/>
        <v>0</v>
      </c>
      <c r="BH72" s="47" t="s">
        <v>166</v>
      </c>
      <c r="BI72" s="2">
        <v>1</v>
      </c>
      <c r="BJ72" s="43">
        <f t="shared" si="41"/>
        <v>477.3075</v>
      </c>
      <c r="BM72" s="83"/>
      <c r="BN72" s="43">
        <f t="shared" si="51"/>
        <v>0</v>
      </c>
      <c r="BP72" s="64">
        <f t="shared" si="52"/>
        <v>0</v>
      </c>
    </row>
    <row r="73" spans="1:68" x14ac:dyDescent="0.25">
      <c r="A73" s="148"/>
      <c r="B73" t="s">
        <v>29</v>
      </c>
      <c r="C73" s="2">
        <v>554.61</v>
      </c>
      <c r="D73" s="1">
        <v>23</v>
      </c>
      <c r="E73" s="1">
        <v>3</v>
      </c>
      <c r="F73" s="3">
        <f t="shared" si="57"/>
        <v>12756.03</v>
      </c>
      <c r="G73" s="3">
        <f t="shared" si="58"/>
        <v>1417.3366666666668</v>
      </c>
      <c r="H73" s="2">
        <f t="shared" si="59"/>
        <v>118.1113888888889</v>
      </c>
      <c r="I73" s="1">
        <v>110</v>
      </c>
      <c r="J73" s="1">
        <f t="shared" si="60"/>
        <v>240</v>
      </c>
      <c r="K73" s="1" t="s">
        <v>60</v>
      </c>
      <c r="L73" s="1">
        <v>36</v>
      </c>
      <c r="M73" s="1">
        <v>18</v>
      </c>
      <c r="N73" s="1">
        <f>L73 * M73</f>
        <v>648</v>
      </c>
      <c r="O73" s="3">
        <f>N73 / 9</f>
        <v>72</v>
      </c>
      <c r="Q73" s="1">
        <v>1</v>
      </c>
      <c r="S73" s="47">
        <f t="shared" si="53"/>
        <v>38479.200000000004</v>
      </c>
      <c r="T73" s="192">
        <f t="shared" si="54"/>
        <v>5669.3466666666673</v>
      </c>
      <c r="U73" s="47">
        <f t="shared" si="42"/>
        <v>12720.24</v>
      </c>
      <c r="V73" s="47">
        <f t="shared" si="43"/>
        <v>0</v>
      </c>
      <c r="W73" s="47">
        <f t="shared" si="44"/>
        <v>0</v>
      </c>
      <c r="X73" s="43">
        <f t="shared" si="45"/>
        <v>0</v>
      </c>
      <c r="Y73" s="43">
        <f t="shared" si="46"/>
        <v>0</v>
      </c>
      <c r="Z73" s="43">
        <f t="shared" si="47"/>
        <v>0</v>
      </c>
      <c r="AA73" s="43">
        <f t="shared" si="48"/>
        <v>0</v>
      </c>
      <c r="AB73" s="133" t="s">
        <v>153</v>
      </c>
      <c r="AC73" s="133"/>
      <c r="AD73" s="133"/>
      <c r="AE73" s="133" t="s">
        <v>153</v>
      </c>
      <c r="AF73" s="133"/>
      <c r="AG73" s="133"/>
      <c r="AJ73" s="133"/>
      <c r="AK73" s="133"/>
      <c r="AL73" s="133"/>
      <c r="AS73" s="43">
        <f t="shared" si="49"/>
        <v>0</v>
      </c>
      <c r="AU73" s="43">
        <f t="shared" si="50"/>
        <v>0</v>
      </c>
      <c r="BC73" s="2">
        <f t="shared" si="38"/>
        <v>0</v>
      </c>
      <c r="BE73" s="43">
        <f t="shared" si="39"/>
        <v>0</v>
      </c>
      <c r="BG73" s="43">
        <f t="shared" si="40"/>
        <v>0</v>
      </c>
      <c r="BH73" s="47" t="s">
        <v>166</v>
      </c>
      <c r="BI73" s="2">
        <v>3</v>
      </c>
      <c r="BJ73" s="43">
        <f t="shared" si="41"/>
        <v>1431.9225000000001</v>
      </c>
      <c r="BM73" s="83"/>
      <c r="BN73" s="43">
        <f t="shared" si="51"/>
        <v>0</v>
      </c>
      <c r="BP73" s="64">
        <f t="shared" si="52"/>
        <v>0</v>
      </c>
    </row>
    <row r="74" spans="1:68" x14ac:dyDescent="0.25">
      <c r="A74" s="148"/>
      <c r="B74" t="s">
        <v>31</v>
      </c>
      <c r="C74" s="2">
        <v>1995.12</v>
      </c>
      <c r="D74" s="1">
        <v>23</v>
      </c>
      <c r="E74" s="1">
        <v>3</v>
      </c>
      <c r="F74" s="3">
        <f t="shared" si="57"/>
        <v>45887.759999999995</v>
      </c>
      <c r="G74" s="3">
        <f t="shared" si="58"/>
        <v>5098.6399999999994</v>
      </c>
      <c r="H74" s="2">
        <f t="shared" si="59"/>
        <v>424.8866666666666</v>
      </c>
      <c r="I74" s="1">
        <v>110</v>
      </c>
      <c r="J74" s="1">
        <f t="shared" si="60"/>
        <v>850</v>
      </c>
      <c r="K74" s="1" t="s">
        <v>60</v>
      </c>
      <c r="L74" s="1">
        <v>10</v>
      </c>
      <c r="M74" s="1">
        <v>23</v>
      </c>
      <c r="N74" s="1">
        <f>L74 * M74</f>
        <v>230</v>
      </c>
      <c r="O74" s="3">
        <f>N74 / 9</f>
        <v>25.555555555555557</v>
      </c>
      <c r="Q74" s="1">
        <v>1</v>
      </c>
      <c r="S74" s="47">
        <f t="shared" si="53"/>
        <v>136280.5</v>
      </c>
      <c r="T74" s="192">
        <f t="shared" si="54"/>
        <v>20394.559999999998</v>
      </c>
      <c r="U74" s="47">
        <f t="shared" si="42"/>
        <v>4514.8999999999996</v>
      </c>
      <c r="V74" s="47">
        <f t="shared" si="43"/>
        <v>0</v>
      </c>
      <c r="W74" s="47">
        <f t="shared" si="44"/>
        <v>0</v>
      </c>
      <c r="X74" s="43">
        <f t="shared" si="45"/>
        <v>0</v>
      </c>
      <c r="Y74" s="43">
        <f t="shared" si="46"/>
        <v>0</v>
      </c>
      <c r="Z74" s="43">
        <f t="shared" si="47"/>
        <v>0</v>
      </c>
      <c r="AA74" s="43">
        <f t="shared" si="48"/>
        <v>0</v>
      </c>
      <c r="AB74" s="133"/>
      <c r="AC74" s="133"/>
      <c r="AD74" s="133"/>
      <c r="AE74" s="133"/>
      <c r="AF74" s="133"/>
      <c r="AG74" s="133"/>
      <c r="AJ74" s="133"/>
      <c r="AK74" s="133"/>
      <c r="AL74" s="133"/>
      <c r="AS74" s="43">
        <f t="shared" si="49"/>
        <v>0</v>
      </c>
      <c r="AU74" s="43">
        <f t="shared" si="50"/>
        <v>0</v>
      </c>
      <c r="BC74" s="2">
        <f t="shared" si="38"/>
        <v>0</v>
      </c>
      <c r="BE74" s="43">
        <f t="shared" si="39"/>
        <v>0</v>
      </c>
      <c r="BG74" s="43">
        <f t="shared" si="40"/>
        <v>0</v>
      </c>
      <c r="BH74" s="47" t="s">
        <v>166</v>
      </c>
      <c r="BI74" s="2">
        <v>1</v>
      </c>
      <c r="BJ74" s="43">
        <f t="shared" si="41"/>
        <v>477.3075</v>
      </c>
      <c r="BM74" s="83"/>
      <c r="BN74" s="43">
        <f t="shared" si="51"/>
        <v>0</v>
      </c>
      <c r="BP74" s="64">
        <f t="shared" si="52"/>
        <v>0</v>
      </c>
    </row>
    <row r="75" spans="1:68" x14ac:dyDescent="0.25">
      <c r="A75" s="148"/>
      <c r="B75" t="s">
        <v>74</v>
      </c>
      <c r="C75" s="2">
        <v>1304</v>
      </c>
      <c r="D75" s="1">
        <v>15</v>
      </c>
      <c r="E75" s="1">
        <v>3</v>
      </c>
      <c r="F75" s="3">
        <f t="shared" ref="F75:F93" si="61">C75*D75</f>
        <v>19560</v>
      </c>
      <c r="G75" s="3">
        <f t="shared" ref="G75:G93" si="62">F75/9</f>
        <v>2173.3333333333335</v>
      </c>
      <c r="H75" s="2">
        <f t="shared" ref="H75:H93" si="63" xml:space="preserve"> (G75* (E75 / 36))</f>
        <v>181.11111111111111</v>
      </c>
      <c r="I75" s="1">
        <v>110</v>
      </c>
      <c r="J75" s="1">
        <f t="shared" ref="J75:J93" si="64" xml:space="preserve"> ROUNDUP(((I75 * E75 * G75)/2000), -1)</f>
        <v>360</v>
      </c>
      <c r="K75" s="1" t="s">
        <v>60</v>
      </c>
      <c r="O75" s="3"/>
      <c r="Q75" s="1">
        <v>1</v>
      </c>
      <c r="S75" s="47">
        <f t="shared" si="53"/>
        <v>57718.8</v>
      </c>
      <c r="T75" s="192">
        <f t="shared" si="54"/>
        <v>8693.3333333333339</v>
      </c>
      <c r="U75" s="47">
        <f t="shared" si="42"/>
        <v>0</v>
      </c>
      <c r="V75" s="47">
        <f t="shared" si="43"/>
        <v>0</v>
      </c>
      <c r="W75" s="47">
        <f t="shared" si="44"/>
        <v>0</v>
      </c>
      <c r="X75" s="43">
        <f t="shared" si="45"/>
        <v>0</v>
      </c>
      <c r="Y75" s="43">
        <f t="shared" si="46"/>
        <v>0</v>
      </c>
      <c r="Z75" s="43">
        <f t="shared" si="47"/>
        <v>0</v>
      </c>
      <c r="AA75" s="43">
        <f t="shared" si="48"/>
        <v>0</v>
      </c>
      <c r="AB75" s="133"/>
      <c r="AC75" s="133"/>
      <c r="AD75" s="133"/>
      <c r="AE75" s="133"/>
      <c r="AF75" s="133"/>
      <c r="AG75" s="133"/>
      <c r="AJ75" s="133" t="s">
        <v>166</v>
      </c>
      <c r="AK75" s="133"/>
      <c r="AL75" s="133"/>
      <c r="AS75" s="43">
        <f t="shared" si="49"/>
        <v>0</v>
      </c>
      <c r="AU75" s="43">
        <f t="shared" si="50"/>
        <v>0</v>
      </c>
      <c r="BC75" s="2">
        <f t="shared" si="38"/>
        <v>0</v>
      </c>
      <c r="BE75" s="43">
        <f t="shared" si="39"/>
        <v>0</v>
      </c>
      <c r="BG75" s="43">
        <f t="shared" si="40"/>
        <v>0</v>
      </c>
      <c r="BH75" s="47" t="s">
        <v>166</v>
      </c>
      <c r="BI75" s="2">
        <v>1</v>
      </c>
      <c r="BJ75" s="43">
        <f t="shared" si="41"/>
        <v>311.28750000000002</v>
      </c>
      <c r="BM75" s="83"/>
      <c r="BN75" s="43">
        <f t="shared" si="51"/>
        <v>0</v>
      </c>
      <c r="BP75" s="64">
        <f t="shared" si="52"/>
        <v>0</v>
      </c>
    </row>
    <row r="76" spans="1:68" x14ac:dyDescent="0.25">
      <c r="A76" s="148"/>
      <c r="B76" t="s">
        <v>75</v>
      </c>
      <c r="C76" s="2">
        <v>187</v>
      </c>
      <c r="D76" s="1">
        <v>15</v>
      </c>
      <c r="E76" s="1">
        <v>3</v>
      </c>
      <c r="F76" s="3">
        <f t="shared" si="61"/>
        <v>2805</v>
      </c>
      <c r="G76" s="3">
        <f t="shared" si="62"/>
        <v>311.66666666666669</v>
      </c>
      <c r="H76" s="2">
        <f t="shared" si="63"/>
        <v>25.972222222222221</v>
      </c>
      <c r="I76" s="1">
        <v>110</v>
      </c>
      <c r="J76" s="1">
        <f t="shared" si="64"/>
        <v>60</v>
      </c>
      <c r="K76" s="1" t="s">
        <v>60</v>
      </c>
      <c r="O76" s="3"/>
      <c r="Q76" s="1">
        <v>1</v>
      </c>
      <c r="S76" s="47">
        <f t="shared" si="53"/>
        <v>9619.8000000000011</v>
      </c>
      <c r="T76" s="192">
        <f t="shared" si="54"/>
        <v>1246.6666666666667</v>
      </c>
      <c r="U76" s="47">
        <f t="shared" si="42"/>
        <v>0</v>
      </c>
      <c r="V76" s="47">
        <f t="shared" si="43"/>
        <v>0</v>
      </c>
      <c r="W76" s="47">
        <f t="shared" si="44"/>
        <v>0</v>
      </c>
      <c r="X76" s="43">
        <f t="shared" si="45"/>
        <v>0</v>
      </c>
      <c r="Y76" s="43">
        <f t="shared" si="46"/>
        <v>0</v>
      </c>
      <c r="Z76" s="43">
        <f t="shared" si="47"/>
        <v>0</v>
      </c>
      <c r="AA76" s="43">
        <f t="shared" si="48"/>
        <v>0</v>
      </c>
      <c r="AB76" s="133"/>
      <c r="AC76" s="133"/>
      <c r="AD76" s="133"/>
      <c r="AE76" s="133"/>
      <c r="AF76" s="133"/>
      <c r="AG76" s="133"/>
      <c r="AJ76" s="133" t="s">
        <v>166</v>
      </c>
      <c r="AK76" s="133"/>
      <c r="AL76" s="133"/>
      <c r="AS76" s="43">
        <f t="shared" si="49"/>
        <v>0</v>
      </c>
      <c r="AU76" s="43">
        <f t="shared" si="50"/>
        <v>0</v>
      </c>
      <c r="BC76" s="2">
        <f t="shared" si="38"/>
        <v>0</v>
      </c>
      <c r="BE76" s="43">
        <f t="shared" si="39"/>
        <v>0</v>
      </c>
      <c r="BG76" s="43">
        <f t="shared" si="40"/>
        <v>0</v>
      </c>
      <c r="BH76" s="47" t="s">
        <v>166</v>
      </c>
      <c r="BI76" s="2">
        <v>2</v>
      </c>
      <c r="BJ76" s="43">
        <f t="shared" si="41"/>
        <v>622.57500000000005</v>
      </c>
      <c r="BM76" s="83"/>
      <c r="BN76" s="43">
        <f t="shared" si="51"/>
        <v>0</v>
      </c>
      <c r="BP76" s="64">
        <f t="shared" si="52"/>
        <v>0</v>
      </c>
    </row>
    <row r="77" spans="1:68" x14ac:dyDescent="0.25">
      <c r="A77" s="148"/>
      <c r="B77" t="s">
        <v>76</v>
      </c>
      <c r="C77" s="2">
        <v>1300</v>
      </c>
      <c r="D77" s="1">
        <v>15</v>
      </c>
      <c r="E77" s="1">
        <v>3</v>
      </c>
      <c r="F77" s="3">
        <f t="shared" si="61"/>
        <v>19500</v>
      </c>
      <c r="G77" s="3">
        <f t="shared" si="62"/>
        <v>2166.6666666666665</v>
      </c>
      <c r="H77" s="2">
        <f t="shared" si="63"/>
        <v>180.55555555555554</v>
      </c>
      <c r="I77" s="1">
        <v>110</v>
      </c>
      <c r="J77" s="1">
        <f t="shared" si="64"/>
        <v>360</v>
      </c>
      <c r="K77" s="1" t="s">
        <v>60</v>
      </c>
      <c r="L77" s="1">
        <v>30</v>
      </c>
      <c r="M77" s="1">
        <v>15</v>
      </c>
      <c r="N77" s="1">
        <f>L77 * M77</f>
        <v>450</v>
      </c>
      <c r="O77" s="3">
        <f>N77 / 9</f>
        <v>50</v>
      </c>
      <c r="Q77" s="1">
        <v>1</v>
      </c>
      <c r="S77" s="47">
        <f t="shared" si="53"/>
        <v>57718.8</v>
      </c>
      <c r="T77" s="192">
        <f t="shared" si="54"/>
        <v>8666.6666666666661</v>
      </c>
      <c r="U77" s="47">
        <f t="shared" si="42"/>
        <v>8833.5</v>
      </c>
      <c r="V77" s="47">
        <f t="shared" si="43"/>
        <v>0</v>
      </c>
      <c r="W77" s="47">
        <f t="shared" si="44"/>
        <v>0</v>
      </c>
      <c r="X77" s="43">
        <f t="shared" si="45"/>
        <v>0</v>
      </c>
      <c r="Y77" s="43">
        <f t="shared" si="46"/>
        <v>0</v>
      </c>
      <c r="Z77" s="43">
        <f t="shared" si="47"/>
        <v>0</v>
      </c>
      <c r="AA77" s="43">
        <f t="shared" si="48"/>
        <v>0</v>
      </c>
      <c r="AB77" s="133"/>
      <c r="AC77" s="133"/>
      <c r="AD77" s="133"/>
      <c r="AE77" s="133"/>
      <c r="AF77" s="133"/>
      <c r="AG77" s="133"/>
      <c r="AJ77" s="133" t="s">
        <v>166</v>
      </c>
      <c r="AK77" s="133"/>
      <c r="AL77" s="133"/>
      <c r="AS77" s="43">
        <f t="shared" si="49"/>
        <v>0</v>
      </c>
      <c r="AU77" s="43">
        <f t="shared" si="50"/>
        <v>0</v>
      </c>
      <c r="BC77" s="2">
        <f t="shared" si="38"/>
        <v>0</v>
      </c>
      <c r="BE77" s="43">
        <f t="shared" si="39"/>
        <v>0</v>
      </c>
      <c r="BG77" s="43">
        <f t="shared" si="40"/>
        <v>0</v>
      </c>
      <c r="BH77" s="47" t="s">
        <v>166</v>
      </c>
      <c r="BI77" s="2">
        <v>1</v>
      </c>
      <c r="BJ77" s="43">
        <f t="shared" si="41"/>
        <v>311.28750000000002</v>
      </c>
      <c r="BM77" s="83"/>
      <c r="BN77" s="43">
        <f t="shared" si="51"/>
        <v>0</v>
      </c>
      <c r="BP77" s="64">
        <f t="shared" si="52"/>
        <v>0</v>
      </c>
    </row>
    <row r="78" spans="1:68" x14ac:dyDescent="0.25">
      <c r="A78" s="148"/>
      <c r="C78" s="2">
        <v>765</v>
      </c>
      <c r="D78" s="1">
        <v>18</v>
      </c>
      <c r="E78" s="1">
        <v>3</v>
      </c>
      <c r="F78" s="3">
        <f t="shared" si="61"/>
        <v>13770</v>
      </c>
      <c r="G78" s="3">
        <f t="shared" si="62"/>
        <v>1530</v>
      </c>
      <c r="H78" s="2">
        <f t="shared" si="63"/>
        <v>127.5</v>
      </c>
      <c r="I78" s="1">
        <v>110</v>
      </c>
      <c r="J78" s="1">
        <f t="shared" si="64"/>
        <v>260</v>
      </c>
      <c r="K78" s="1" t="s">
        <v>60</v>
      </c>
      <c r="L78" s="1">
        <v>10</v>
      </c>
      <c r="M78" s="1">
        <v>8</v>
      </c>
      <c r="N78" s="1">
        <f>L78 * M78</f>
        <v>80</v>
      </c>
      <c r="O78" s="3">
        <f>N78 / 9</f>
        <v>8.8888888888888893</v>
      </c>
      <c r="S78" s="47">
        <f t="shared" si="53"/>
        <v>41685.800000000003</v>
      </c>
      <c r="T78" s="192">
        <f t="shared" si="54"/>
        <v>6120</v>
      </c>
      <c r="U78" s="47">
        <f t="shared" si="42"/>
        <v>1570.3999999999999</v>
      </c>
      <c r="V78" s="47">
        <f t="shared" si="43"/>
        <v>0</v>
      </c>
      <c r="W78" s="47">
        <f t="shared" si="44"/>
        <v>0</v>
      </c>
      <c r="X78" s="43">
        <f t="shared" si="45"/>
        <v>0</v>
      </c>
      <c r="Y78" s="43">
        <f t="shared" si="46"/>
        <v>0</v>
      </c>
      <c r="Z78" s="43">
        <f t="shared" si="47"/>
        <v>0</v>
      </c>
      <c r="AA78" s="43">
        <f t="shared" si="48"/>
        <v>0</v>
      </c>
      <c r="AB78" s="133"/>
      <c r="AC78" s="133"/>
      <c r="AD78" s="133"/>
      <c r="AE78" s="133"/>
      <c r="AF78" s="133"/>
      <c r="AG78" s="133"/>
      <c r="AJ78" s="133" t="s">
        <v>166</v>
      </c>
      <c r="AK78" s="133"/>
      <c r="AL78" s="133"/>
      <c r="AS78" s="43">
        <f t="shared" si="49"/>
        <v>0</v>
      </c>
      <c r="AU78" s="43">
        <f t="shared" si="50"/>
        <v>0</v>
      </c>
      <c r="BC78" s="2">
        <f t="shared" si="38"/>
        <v>0</v>
      </c>
      <c r="BE78" s="43">
        <f t="shared" si="39"/>
        <v>0</v>
      </c>
      <c r="BG78" s="43">
        <f t="shared" si="40"/>
        <v>0</v>
      </c>
      <c r="BH78" s="47" t="s">
        <v>166</v>
      </c>
      <c r="BI78" s="2">
        <v>1</v>
      </c>
      <c r="BJ78" s="43">
        <f t="shared" si="41"/>
        <v>373.54500000000002</v>
      </c>
      <c r="BM78" s="83"/>
      <c r="BN78" s="43">
        <f t="shared" si="51"/>
        <v>0</v>
      </c>
      <c r="BP78" s="64">
        <f t="shared" si="52"/>
        <v>0</v>
      </c>
    </row>
    <row r="79" spans="1:68" x14ac:dyDescent="0.25">
      <c r="A79" s="148"/>
      <c r="B79" t="s">
        <v>43</v>
      </c>
      <c r="C79" s="2">
        <v>1030</v>
      </c>
      <c r="D79" s="1">
        <v>23</v>
      </c>
      <c r="E79" s="1">
        <v>3</v>
      </c>
      <c r="F79" s="3">
        <f t="shared" si="61"/>
        <v>23690</v>
      </c>
      <c r="G79" s="3">
        <f t="shared" si="62"/>
        <v>2632.2222222222222</v>
      </c>
      <c r="H79" s="2">
        <f t="shared" si="63"/>
        <v>219.35185185185185</v>
      </c>
      <c r="I79" s="1">
        <v>110</v>
      </c>
      <c r="J79" s="1">
        <f t="shared" si="64"/>
        <v>440</v>
      </c>
      <c r="K79" s="1" t="s">
        <v>60</v>
      </c>
      <c r="O79" s="3"/>
      <c r="S79" s="47">
        <f t="shared" si="53"/>
        <v>70545.200000000012</v>
      </c>
      <c r="T79" s="192">
        <f t="shared" si="54"/>
        <v>10528.888888888889</v>
      </c>
      <c r="U79" s="47">
        <f t="shared" si="42"/>
        <v>0</v>
      </c>
      <c r="V79" s="47">
        <f t="shared" si="43"/>
        <v>0</v>
      </c>
      <c r="W79" s="47">
        <f t="shared" si="44"/>
        <v>0</v>
      </c>
      <c r="X79" s="43">
        <f t="shared" si="45"/>
        <v>0</v>
      </c>
      <c r="Y79" s="43">
        <f t="shared" si="46"/>
        <v>0</v>
      </c>
      <c r="Z79" s="43">
        <f t="shared" si="47"/>
        <v>0</v>
      </c>
      <c r="AA79" s="43">
        <f t="shared" si="48"/>
        <v>0</v>
      </c>
      <c r="AB79" s="133"/>
      <c r="AC79" s="133"/>
      <c r="AD79" s="133"/>
      <c r="AE79" s="133"/>
      <c r="AF79" s="133"/>
      <c r="AG79" s="133"/>
      <c r="AJ79" s="133"/>
      <c r="AK79" s="133"/>
      <c r="AL79" s="133"/>
      <c r="AS79" s="43">
        <f t="shared" si="49"/>
        <v>0</v>
      </c>
      <c r="AU79" s="43">
        <f t="shared" si="50"/>
        <v>0</v>
      </c>
      <c r="BC79" s="2">
        <f t="shared" si="38"/>
        <v>0</v>
      </c>
      <c r="BE79" s="43">
        <f t="shared" si="39"/>
        <v>0</v>
      </c>
      <c r="BG79" s="43">
        <f t="shared" si="40"/>
        <v>0</v>
      </c>
      <c r="BJ79" s="43">
        <f t="shared" si="41"/>
        <v>0</v>
      </c>
      <c r="BM79" s="83"/>
      <c r="BN79" s="43">
        <f t="shared" si="51"/>
        <v>0</v>
      </c>
      <c r="BP79" s="64">
        <f t="shared" si="52"/>
        <v>0</v>
      </c>
    </row>
    <row r="80" spans="1:68" x14ac:dyDescent="0.25">
      <c r="A80" s="148"/>
      <c r="B80" t="s">
        <v>78</v>
      </c>
      <c r="C80" s="2">
        <v>1594</v>
      </c>
      <c r="D80" s="1">
        <v>23</v>
      </c>
      <c r="E80" s="1">
        <v>3</v>
      </c>
      <c r="F80" s="3">
        <f t="shared" si="61"/>
        <v>36662</v>
      </c>
      <c r="G80" s="3">
        <f t="shared" si="62"/>
        <v>4073.5555555555557</v>
      </c>
      <c r="H80" s="2">
        <f t="shared" si="63"/>
        <v>339.46296296296293</v>
      </c>
      <c r="I80" s="1">
        <v>110</v>
      </c>
      <c r="J80" s="1">
        <f t="shared" si="64"/>
        <v>680</v>
      </c>
      <c r="K80" s="1" t="s">
        <v>60</v>
      </c>
      <c r="O80" s="3"/>
      <c r="S80" s="47">
        <f t="shared" si="53"/>
        <v>109024.40000000001</v>
      </c>
      <c r="T80" s="192">
        <f t="shared" si="54"/>
        <v>16294.222222222223</v>
      </c>
      <c r="U80" s="47">
        <f t="shared" si="42"/>
        <v>0</v>
      </c>
      <c r="V80" s="47">
        <f t="shared" si="43"/>
        <v>0</v>
      </c>
      <c r="W80" s="47">
        <f t="shared" si="44"/>
        <v>0</v>
      </c>
      <c r="X80" s="43">
        <f t="shared" si="45"/>
        <v>0</v>
      </c>
      <c r="Y80" s="43">
        <f t="shared" si="46"/>
        <v>0</v>
      </c>
      <c r="Z80" s="43">
        <f t="shared" si="47"/>
        <v>0</v>
      </c>
      <c r="AA80" s="43">
        <f t="shared" si="48"/>
        <v>0</v>
      </c>
      <c r="AB80" s="133"/>
      <c r="AC80" s="133"/>
      <c r="AD80" s="133"/>
      <c r="AE80" s="133"/>
      <c r="AF80" s="133"/>
      <c r="AG80" s="133"/>
      <c r="AJ80" s="133"/>
      <c r="AK80" s="133"/>
      <c r="AL80" s="133"/>
      <c r="AS80" s="43">
        <f t="shared" si="49"/>
        <v>0</v>
      </c>
      <c r="AU80" s="43">
        <f t="shared" si="50"/>
        <v>0</v>
      </c>
      <c r="BC80" s="2">
        <f t="shared" si="38"/>
        <v>0</v>
      </c>
      <c r="BE80" s="43">
        <f t="shared" si="39"/>
        <v>0</v>
      </c>
      <c r="BG80" s="43">
        <f t="shared" si="40"/>
        <v>0</v>
      </c>
      <c r="BH80" s="47" t="s">
        <v>166</v>
      </c>
      <c r="BI80" s="2">
        <v>1</v>
      </c>
      <c r="BJ80" s="43">
        <f t="shared" si="41"/>
        <v>477.3075</v>
      </c>
      <c r="BN80" s="43">
        <f t="shared" si="51"/>
        <v>0</v>
      </c>
      <c r="BP80" s="64">
        <f t="shared" ref="BP80:BP84" si="65">IF(BO80 &gt; 0, BO80 * BO$87, 0)</f>
        <v>0</v>
      </c>
    </row>
    <row r="81" spans="1:72" x14ac:dyDescent="0.25">
      <c r="A81" s="148"/>
      <c r="B81" t="s">
        <v>79</v>
      </c>
      <c r="C81" s="2">
        <v>1121</v>
      </c>
      <c r="D81" s="1">
        <v>23</v>
      </c>
      <c r="E81" s="1">
        <v>3</v>
      </c>
      <c r="F81" s="3">
        <f t="shared" si="61"/>
        <v>25783</v>
      </c>
      <c r="G81" s="3">
        <f t="shared" si="62"/>
        <v>2864.7777777777778</v>
      </c>
      <c r="H81" s="2">
        <f t="shared" si="63"/>
        <v>238.73148148148147</v>
      </c>
      <c r="I81" s="1">
        <v>110</v>
      </c>
      <c r="J81" s="1">
        <f t="shared" si="64"/>
        <v>480</v>
      </c>
      <c r="K81" s="1" t="s">
        <v>60</v>
      </c>
      <c r="O81" s="3"/>
      <c r="S81" s="47">
        <f t="shared" si="53"/>
        <v>76958.400000000009</v>
      </c>
      <c r="T81" s="192">
        <f t="shared" si="54"/>
        <v>11459.111111111111</v>
      </c>
      <c r="U81" s="47">
        <f t="shared" si="42"/>
        <v>0</v>
      </c>
      <c r="V81" s="47">
        <f t="shared" si="43"/>
        <v>0</v>
      </c>
      <c r="W81" s="47">
        <f t="shared" si="44"/>
        <v>0</v>
      </c>
      <c r="X81" s="43">
        <f t="shared" si="45"/>
        <v>0</v>
      </c>
      <c r="Y81" s="43">
        <f t="shared" si="46"/>
        <v>0</v>
      </c>
      <c r="Z81" s="43">
        <f t="shared" si="47"/>
        <v>0</v>
      </c>
      <c r="AA81" s="43">
        <f t="shared" si="48"/>
        <v>0</v>
      </c>
      <c r="AB81" s="133"/>
      <c r="AC81" s="133"/>
      <c r="AD81" s="133"/>
      <c r="AE81" s="133"/>
      <c r="AF81" s="133"/>
      <c r="AG81" s="133"/>
      <c r="AJ81" s="133"/>
      <c r="AK81" s="133"/>
      <c r="AL81" s="133"/>
      <c r="AS81" s="43">
        <f t="shared" si="49"/>
        <v>0</v>
      </c>
      <c r="AU81" s="43">
        <f t="shared" si="50"/>
        <v>0</v>
      </c>
      <c r="BC81" s="2">
        <f t="shared" si="38"/>
        <v>0</v>
      </c>
      <c r="BE81" s="43">
        <f t="shared" si="39"/>
        <v>0</v>
      </c>
      <c r="BG81" s="43">
        <f t="shared" si="40"/>
        <v>0</v>
      </c>
      <c r="BH81" s="47" t="s">
        <v>166</v>
      </c>
      <c r="BI81" s="2">
        <v>1</v>
      </c>
      <c r="BJ81" s="43">
        <f t="shared" si="41"/>
        <v>477.3075</v>
      </c>
      <c r="BN81" s="43">
        <f t="shared" si="51"/>
        <v>0</v>
      </c>
      <c r="BP81" s="64">
        <f t="shared" si="65"/>
        <v>0</v>
      </c>
    </row>
    <row r="82" spans="1:72" x14ac:dyDescent="0.25">
      <c r="A82" s="148"/>
      <c r="B82" t="s">
        <v>80</v>
      </c>
      <c r="C82" s="2">
        <v>813</v>
      </c>
      <c r="D82" s="1">
        <v>23</v>
      </c>
      <c r="E82" s="1">
        <v>3</v>
      </c>
      <c r="F82" s="3">
        <f t="shared" si="61"/>
        <v>18699</v>
      </c>
      <c r="G82" s="3">
        <f t="shared" si="62"/>
        <v>2077.6666666666665</v>
      </c>
      <c r="H82" s="2">
        <f t="shared" si="63"/>
        <v>173.13888888888886</v>
      </c>
      <c r="I82" s="1">
        <v>110</v>
      </c>
      <c r="J82" s="1">
        <f t="shared" si="64"/>
        <v>350</v>
      </c>
      <c r="K82" s="1" t="s">
        <v>60</v>
      </c>
      <c r="O82" s="3"/>
      <c r="S82" s="47">
        <f t="shared" si="53"/>
        <v>56115.500000000007</v>
      </c>
      <c r="T82" s="192">
        <f t="shared" si="54"/>
        <v>8310.6666666666661</v>
      </c>
      <c r="U82" s="47">
        <f t="shared" si="42"/>
        <v>0</v>
      </c>
      <c r="V82" s="47">
        <f t="shared" si="43"/>
        <v>0</v>
      </c>
      <c r="W82" s="47">
        <f t="shared" si="44"/>
        <v>0</v>
      </c>
      <c r="X82" s="43">
        <f t="shared" si="45"/>
        <v>0</v>
      </c>
      <c r="Y82" s="43">
        <f t="shared" si="46"/>
        <v>0</v>
      </c>
      <c r="Z82" s="43">
        <f t="shared" si="47"/>
        <v>0</v>
      </c>
      <c r="AA82" s="43">
        <f t="shared" si="48"/>
        <v>0</v>
      </c>
      <c r="AB82" s="133"/>
      <c r="AC82" s="133"/>
      <c r="AD82" s="133"/>
      <c r="AE82" s="133"/>
      <c r="AF82" s="133"/>
      <c r="AG82" s="133"/>
      <c r="AJ82" s="133"/>
      <c r="AK82" s="133"/>
      <c r="AL82" s="133"/>
      <c r="AS82" s="43">
        <f t="shared" si="49"/>
        <v>0</v>
      </c>
      <c r="AU82" s="43">
        <f t="shared" si="50"/>
        <v>0</v>
      </c>
      <c r="BC82" s="2">
        <f t="shared" si="38"/>
        <v>0</v>
      </c>
      <c r="BE82" s="43">
        <f t="shared" si="39"/>
        <v>0</v>
      </c>
      <c r="BG82" s="43">
        <f t="shared" si="40"/>
        <v>0</v>
      </c>
      <c r="BH82" s="47" t="s">
        <v>166</v>
      </c>
      <c r="BI82" s="2">
        <v>2</v>
      </c>
      <c r="BJ82" s="43">
        <f t="shared" si="41"/>
        <v>954.61500000000001</v>
      </c>
      <c r="BN82" s="43">
        <f t="shared" si="51"/>
        <v>0</v>
      </c>
      <c r="BP82" s="64">
        <f t="shared" si="65"/>
        <v>0</v>
      </c>
    </row>
    <row r="83" spans="1:72" x14ac:dyDescent="0.25">
      <c r="A83" s="148"/>
      <c r="B83" t="s">
        <v>82</v>
      </c>
      <c r="C83" s="2">
        <v>810</v>
      </c>
      <c r="D83" s="1">
        <v>23</v>
      </c>
      <c r="E83" s="1">
        <v>3</v>
      </c>
      <c r="F83" s="3">
        <f t="shared" si="61"/>
        <v>18630</v>
      </c>
      <c r="G83" s="3">
        <f t="shared" si="62"/>
        <v>2070</v>
      </c>
      <c r="H83" s="2">
        <f t="shared" si="63"/>
        <v>172.5</v>
      </c>
      <c r="I83" s="1">
        <v>110</v>
      </c>
      <c r="J83" s="1">
        <f t="shared" si="64"/>
        <v>350</v>
      </c>
      <c r="K83" s="1" t="s">
        <v>60</v>
      </c>
      <c r="O83" s="3"/>
      <c r="S83" s="47">
        <f t="shared" si="53"/>
        <v>56115.500000000007</v>
      </c>
      <c r="T83" s="192">
        <f t="shared" si="54"/>
        <v>8280</v>
      </c>
      <c r="U83" s="47">
        <f t="shared" si="42"/>
        <v>0</v>
      </c>
      <c r="V83" s="47">
        <f t="shared" si="43"/>
        <v>0</v>
      </c>
      <c r="W83" s="47">
        <f t="shared" si="44"/>
        <v>0</v>
      </c>
      <c r="X83" s="43">
        <f t="shared" si="45"/>
        <v>0</v>
      </c>
      <c r="Y83" s="43">
        <f t="shared" si="46"/>
        <v>0</v>
      </c>
      <c r="Z83" s="43">
        <f t="shared" si="47"/>
        <v>0</v>
      </c>
      <c r="AA83" s="43">
        <f t="shared" si="48"/>
        <v>0</v>
      </c>
      <c r="AB83" s="133"/>
      <c r="AC83" s="133"/>
      <c r="AD83" s="133"/>
      <c r="AE83" s="133"/>
      <c r="AF83" s="133"/>
      <c r="AG83" s="133"/>
      <c r="AJ83" s="133"/>
      <c r="AK83" s="133"/>
      <c r="AL83" s="133"/>
      <c r="AS83" s="43">
        <f t="shared" si="49"/>
        <v>0</v>
      </c>
      <c r="AU83" s="43">
        <f t="shared" si="50"/>
        <v>0</v>
      </c>
      <c r="BC83" s="2">
        <f t="shared" si="38"/>
        <v>0</v>
      </c>
      <c r="BE83" s="43">
        <f t="shared" si="39"/>
        <v>0</v>
      </c>
      <c r="BG83" s="43">
        <f t="shared" si="40"/>
        <v>0</v>
      </c>
      <c r="BH83" s="47" t="s">
        <v>166</v>
      </c>
      <c r="BI83" s="2">
        <v>1</v>
      </c>
      <c r="BJ83" s="43">
        <f t="shared" si="41"/>
        <v>477.3075</v>
      </c>
      <c r="BN83" s="43">
        <f t="shared" si="51"/>
        <v>0</v>
      </c>
      <c r="BP83" s="64">
        <f t="shared" si="65"/>
        <v>0</v>
      </c>
    </row>
    <row r="84" spans="1:72" x14ac:dyDescent="0.25">
      <c r="A84" s="148"/>
      <c r="B84" t="s">
        <v>81</v>
      </c>
      <c r="C84" s="2">
        <v>778</v>
      </c>
      <c r="D84" s="1">
        <v>23</v>
      </c>
      <c r="E84" s="1">
        <v>3</v>
      </c>
      <c r="F84" s="3">
        <f t="shared" si="61"/>
        <v>17894</v>
      </c>
      <c r="G84" s="3">
        <f t="shared" si="62"/>
        <v>1988.2222222222222</v>
      </c>
      <c r="H84" s="2">
        <f t="shared" si="63"/>
        <v>165.68518518518516</v>
      </c>
      <c r="I84" s="1">
        <v>110</v>
      </c>
      <c r="J84" s="1">
        <f t="shared" si="64"/>
        <v>330</v>
      </c>
      <c r="K84" s="1" t="s">
        <v>60</v>
      </c>
      <c r="O84" s="3"/>
      <c r="S84" s="47">
        <f t="shared" si="53"/>
        <v>52908.9</v>
      </c>
      <c r="T84" s="192">
        <f t="shared" si="54"/>
        <v>7952.8888888888887</v>
      </c>
      <c r="U84" s="47">
        <f t="shared" si="42"/>
        <v>0</v>
      </c>
      <c r="V84" s="47">
        <f t="shared" si="43"/>
        <v>0</v>
      </c>
      <c r="W84" s="47">
        <f t="shared" si="44"/>
        <v>0</v>
      </c>
      <c r="X84" s="43">
        <f t="shared" si="45"/>
        <v>0</v>
      </c>
      <c r="Y84" s="43">
        <f t="shared" si="46"/>
        <v>0</v>
      </c>
      <c r="Z84" s="43">
        <f t="shared" si="47"/>
        <v>0</v>
      </c>
      <c r="AA84" s="43">
        <f t="shared" si="48"/>
        <v>0</v>
      </c>
      <c r="AB84" s="133"/>
      <c r="AC84" s="133"/>
      <c r="AD84" s="133"/>
      <c r="AE84" s="133"/>
      <c r="AF84" s="133"/>
      <c r="AG84" s="133"/>
      <c r="AJ84" s="133"/>
      <c r="AK84" s="133"/>
      <c r="AL84" s="133"/>
      <c r="AS84" s="43">
        <f t="shared" si="49"/>
        <v>0</v>
      </c>
      <c r="AU84" s="43">
        <f t="shared" si="50"/>
        <v>0</v>
      </c>
      <c r="BC84" s="2">
        <f t="shared" si="38"/>
        <v>0</v>
      </c>
      <c r="BE84" s="43">
        <f t="shared" si="39"/>
        <v>0</v>
      </c>
      <c r="BG84" s="43">
        <f t="shared" si="40"/>
        <v>0</v>
      </c>
      <c r="BJ84" s="43">
        <f t="shared" si="41"/>
        <v>0</v>
      </c>
      <c r="BN84" s="43">
        <f t="shared" si="51"/>
        <v>0</v>
      </c>
      <c r="BP84" s="64">
        <f t="shared" si="65"/>
        <v>0</v>
      </c>
    </row>
    <row r="85" spans="1:72" x14ac:dyDescent="0.25">
      <c r="A85" s="81"/>
      <c r="F85" s="3"/>
      <c r="G85" s="3"/>
      <c r="H85" s="2"/>
      <c r="O85" s="3"/>
      <c r="BP85" s="64"/>
    </row>
    <row r="86" spans="1:72" x14ac:dyDescent="0.25">
      <c r="A86" s="80" t="s">
        <v>162</v>
      </c>
      <c r="B86" s="1"/>
      <c r="F86" s="3"/>
      <c r="G86" s="3"/>
      <c r="H86" s="2"/>
      <c r="O86" s="3"/>
      <c r="R86" s="1"/>
      <c r="S86" s="2">
        <f>CEILING(J88, 1000)</f>
        <v>10000</v>
      </c>
      <c r="T86" s="66">
        <f>CEILING(SUMIF(K54:K84, "Mill, Patch, Overlay", G54:G84), 1000)</f>
        <v>55000</v>
      </c>
      <c r="U86" s="2">
        <f>CEILING(O88, 100)</f>
        <v>900</v>
      </c>
      <c r="V86" s="2">
        <f>CEILING(P88, 50)</f>
        <v>150</v>
      </c>
      <c r="W86" s="66">
        <f>CEILING(SUMIF(K54:K84, "Total Reconstruction", G54:G84), 1000)</f>
        <v>0</v>
      </c>
      <c r="X86" s="66">
        <f>CEILING(SUMIF(K54:K84, "Total Reconstruction", G54:G84), 1000)</f>
        <v>0</v>
      </c>
      <c r="Y86" s="66">
        <f>CEILING(SUMIF(K54:K84, "Total Reconstruction", G54:G84), 1000)</f>
        <v>0</v>
      </c>
      <c r="Z86" s="66">
        <f>CEILING(SUMIF(K54:K84, "Total Reconstruction", G54:G84), 1000)</f>
        <v>0</v>
      </c>
      <c r="AA86" s="66">
        <f>CEILING(SUMIF(K54:K84, "Total Reconstruction", C54:C84) / 5280, 1)</f>
        <v>0</v>
      </c>
      <c r="AB86" s="138">
        <f ca="1">CEILING(((SUMIF(AB54:AD84, "X", C54:C84) * 2 * AB$2 * (AC$2/12)) / 27 ) * AD2, 100)</f>
        <v>300</v>
      </c>
      <c r="AC86" s="138"/>
      <c r="AD86" s="138"/>
      <c r="AE86" s="138">
        <f ca="1">CEILING(((SUMIF(AE54:AG84, "X", C54:C84) * 2 * AE$2 * (AF$2/12)) / 27 ) * AG2, 100)</f>
        <v>400</v>
      </c>
      <c r="AF86" s="138"/>
      <c r="AG86" s="138"/>
      <c r="AH86" s="2">
        <f>SUM(AH54:AH84)</f>
        <v>0</v>
      </c>
      <c r="AI86" s="66">
        <f>IF(COUNTIF(K54:K84, "TOTAL RECONSTRUCTION") &gt; 0, 1, 0)</f>
        <v>0</v>
      </c>
      <c r="AJ86" s="138">
        <f ca="1">CEILING(((SUMIF(AJ54:AL84, "X", C54:C84) * 2 * AJ$2 * (AK$2/12)) / 27 ) * AL2, 100)</f>
        <v>1000</v>
      </c>
      <c r="AK86" s="138"/>
      <c r="AL86" s="138"/>
      <c r="AM86" s="2"/>
      <c r="AN86" s="2"/>
      <c r="AO86" s="2"/>
      <c r="AP86" s="2"/>
      <c r="AQ86" s="2"/>
      <c r="AR86" s="141">
        <f>CEILING(SUM(AR54:AR84), 100)</f>
        <v>0</v>
      </c>
      <c r="AS86" s="141"/>
      <c r="AT86" s="141">
        <f>CEILING(SUM(AT54:AT84), 100)</f>
        <v>0</v>
      </c>
      <c r="AU86" s="141"/>
      <c r="AV86" s="2"/>
      <c r="AW86" s="2"/>
      <c r="AX86" s="2"/>
      <c r="AY86" s="2"/>
      <c r="AZ86" s="2"/>
      <c r="BA86" s="2"/>
      <c r="BB86" s="2"/>
      <c r="BC86" s="2">
        <f>CEILING(SUM(BC54:BC84), 100)</f>
        <v>0</v>
      </c>
      <c r="BD86" s="141">
        <f>CEILING((SUMIF(BD54:BD84, "=X", C54:C84) * 2) / 5280, 1)</f>
        <v>2</v>
      </c>
      <c r="BE86" s="141"/>
      <c r="BF86" s="141">
        <f>CEILING((SUMIF(BF54:BF84, "=X", C54:C84)) / 5280, 1)</f>
        <v>1</v>
      </c>
      <c r="BG86" s="141"/>
      <c r="BH86" s="141" cm="1">
        <f t="array" ref="BH86">CEILING(SUMPRODUCT((BI54:BI84) * (D54:D84) * (BH54:BH84 = "X")) * BI2, 100)</f>
        <v>400</v>
      </c>
      <c r="BI86" s="141"/>
      <c r="BJ86" s="141"/>
      <c r="BK86" s="2">
        <v>0</v>
      </c>
      <c r="BL86" s="2">
        <v>10000</v>
      </c>
      <c r="BM86" s="138">
        <f>CEILING((SUM(BM54:BM84) * BM2 * BN2) / 9, 100)</f>
        <v>0</v>
      </c>
      <c r="BN86" s="138"/>
      <c r="BO86" s="138">
        <f>SUM(BO54:BO84)</f>
        <v>0</v>
      </c>
      <c r="BP86" s="142"/>
    </row>
    <row r="87" spans="1:72" x14ac:dyDescent="0.25">
      <c r="A87" s="80" t="s">
        <v>161</v>
      </c>
      <c r="B87" s="4"/>
      <c r="C87" s="67"/>
      <c r="D87" s="4"/>
      <c r="E87" s="4"/>
      <c r="F87" s="68"/>
      <c r="G87" s="68"/>
      <c r="H87" s="67"/>
      <c r="I87" s="4"/>
      <c r="J87" s="4"/>
      <c r="K87" s="4"/>
      <c r="L87" s="4"/>
      <c r="M87" s="4"/>
      <c r="N87" s="4"/>
      <c r="O87" s="68"/>
      <c r="P87" s="4"/>
      <c r="Q87" s="4"/>
      <c r="R87" s="4"/>
      <c r="S87" s="54">
        <v>160.33000000000001</v>
      </c>
      <c r="T87" s="44">
        <v>4</v>
      </c>
      <c r="U87" s="54">
        <v>176.67</v>
      </c>
      <c r="V87" s="54">
        <v>135.66999999999999</v>
      </c>
      <c r="W87" s="54">
        <v>10.130000000000001</v>
      </c>
      <c r="X87" s="42">
        <v>14.25</v>
      </c>
      <c r="Y87" s="42">
        <v>17.03</v>
      </c>
      <c r="Z87" s="42">
        <v>6.83</v>
      </c>
      <c r="AA87" s="42">
        <v>5432</v>
      </c>
      <c r="AB87" s="137">
        <v>171.33</v>
      </c>
      <c r="AC87" s="137"/>
      <c r="AD87" s="137"/>
      <c r="AE87" s="137">
        <v>146.66999999999999</v>
      </c>
      <c r="AF87" s="137"/>
      <c r="AG87" s="137"/>
      <c r="AH87" s="42">
        <v>226.67</v>
      </c>
      <c r="AI87" s="54">
        <v>75000</v>
      </c>
      <c r="AJ87" s="137">
        <v>123.5</v>
      </c>
      <c r="AK87" s="137"/>
      <c r="AL87" s="137"/>
      <c r="AM87" s="69"/>
      <c r="AN87" s="69"/>
      <c r="AO87" s="69"/>
      <c r="AP87" s="69"/>
      <c r="AQ87" s="69"/>
      <c r="AR87" s="137">
        <v>216.33</v>
      </c>
      <c r="AS87" s="137"/>
      <c r="AT87" s="137">
        <v>249.33</v>
      </c>
      <c r="AU87" s="137"/>
      <c r="AV87" s="42"/>
      <c r="AW87" s="42"/>
      <c r="AX87" s="42"/>
      <c r="AY87" s="42"/>
      <c r="AZ87" s="42"/>
      <c r="BA87" s="42"/>
      <c r="BB87" s="42"/>
      <c r="BC87" s="54">
        <f>200</f>
        <v>200</v>
      </c>
      <c r="BD87" s="137">
        <v>5500</v>
      </c>
      <c r="BE87" s="137"/>
      <c r="BF87" s="137">
        <v>1661.33</v>
      </c>
      <c r="BG87" s="137"/>
      <c r="BH87" s="137">
        <v>27.67</v>
      </c>
      <c r="BI87" s="137"/>
      <c r="BJ87" s="137"/>
      <c r="BK87" s="42">
        <v>4375</v>
      </c>
      <c r="BL87" s="42">
        <v>1</v>
      </c>
      <c r="BM87" s="137">
        <v>103.34</v>
      </c>
      <c r="BN87" s="137"/>
      <c r="BO87" s="137">
        <v>5162</v>
      </c>
      <c r="BP87" s="139"/>
      <c r="BR87" s="4"/>
      <c r="BS87" s="4" t="s">
        <v>167</v>
      </c>
      <c r="BT87" s="4"/>
    </row>
    <row r="88" spans="1:72" x14ac:dyDescent="0.25">
      <c r="A88" s="80" t="s">
        <v>160</v>
      </c>
      <c r="B88" s="4"/>
      <c r="C88" s="5">
        <f>SUM(C54:C84)</f>
        <v>23367.01</v>
      </c>
      <c r="D88" s="6"/>
      <c r="E88" s="6"/>
      <c r="F88" s="5">
        <f>SUM(F54:F84)</f>
        <v>490645.23</v>
      </c>
      <c r="G88" s="5">
        <f>SUM(G54:G84)</f>
        <v>54516.136666666651</v>
      </c>
      <c r="H88" s="5">
        <f>SUM(H54:H84)</f>
        <v>4543.0113888888891</v>
      </c>
      <c r="I88" s="5"/>
      <c r="J88" s="5">
        <f>SUM(J54:J84)</f>
        <v>9110</v>
      </c>
      <c r="K88" s="5"/>
      <c r="L88" s="5"/>
      <c r="M88" s="5"/>
      <c r="N88" s="5">
        <f t="shared" ref="N88:AA88" si="66">SUM(N54:N84)</f>
        <v>7416</v>
      </c>
      <c r="O88" s="5">
        <f t="shared" si="66"/>
        <v>823.99999999999989</v>
      </c>
      <c r="P88" s="5">
        <f t="shared" si="66"/>
        <v>140</v>
      </c>
      <c r="Q88" s="5">
        <f t="shared" si="66"/>
        <v>11</v>
      </c>
      <c r="R88" s="5">
        <f t="shared" si="66"/>
        <v>0</v>
      </c>
      <c r="S88" s="70">
        <f t="shared" si="66"/>
        <v>1460606.2999999998</v>
      </c>
      <c r="T88" s="70">
        <f t="shared" si="66"/>
        <v>218064.5466666666</v>
      </c>
      <c r="U88" s="70">
        <f t="shared" si="66"/>
        <v>145576.07999999999</v>
      </c>
      <c r="V88" s="70">
        <f t="shared" si="66"/>
        <v>18993.8</v>
      </c>
      <c r="W88" s="70">
        <f t="shared" si="66"/>
        <v>0</v>
      </c>
      <c r="X88" s="70">
        <f t="shared" si="66"/>
        <v>0</v>
      </c>
      <c r="Y88" s="70">
        <f t="shared" si="66"/>
        <v>0</v>
      </c>
      <c r="Z88" s="70">
        <f t="shared" si="66"/>
        <v>0</v>
      </c>
      <c r="AA88" s="70">
        <f t="shared" si="66"/>
        <v>0</v>
      </c>
      <c r="AB88" s="135">
        <f ca="1">AB86 * AB87</f>
        <v>51399.000000000007</v>
      </c>
      <c r="AC88" s="135"/>
      <c r="AD88" s="135"/>
      <c r="AE88" s="135">
        <f ca="1">AE86 * AE87</f>
        <v>58667.999999999993</v>
      </c>
      <c r="AF88" s="135"/>
      <c r="AG88" s="135"/>
      <c r="AH88" s="42">
        <f>AH86 * AH87</f>
        <v>0</v>
      </c>
      <c r="AI88" s="70">
        <f>SUM(AI54:AI84)</f>
        <v>0</v>
      </c>
      <c r="AJ88" s="135">
        <f ca="1">AJ86 * AJ87</f>
        <v>123500</v>
      </c>
      <c r="AK88" s="135"/>
      <c r="AL88" s="135"/>
      <c r="AM88" s="70">
        <f t="shared" ref="AM88:AQ88" si="67">SUM(AM42:AM84)</f>
        <v>0</v>
      </c>
      <c r="AN88" s="70">
        <f t="shared" si="67"/>
        <v>0</v>
      </c>
      <c r="AO88" s="70">
        <f t="shared" si="67"/>
        <v>0</v>
      </c>
      <c r="AP88" s="70">
        <f t="shared" si="67"/>
        <v>0</v>
      </c>
      <c r="AQ88" s="70">
        <f t="shared" si="67"/>
        <v>0</v>
      </c>
      <c r="AR88" s="135">
        <f>SUM(AS54:AS84)</f>
        <v>0</v>
      </c>
      <c r="AS88" s="135"/>
      <c r="AT88" s="135">
        <f>SUM(AU54:AU84)</f>
        <v>0</v>
      </c>
      <c r="AU88" s="135"/>
      <c r="AV88" s="70">
        <f t="shared" ref="AV88:BB88" si="68">SUM(AV42:AV84)</f>
        <v>0</v>
      </c>
      <c r="AW88" s="70">
        <f t="shared" si="68"/>
        <v>0</v>
      </c>
      <c r="AX88" s="70">
        <f t="shared" si="68"/>
        <v>0</v>
      </c>
      <c r="AY88" s="70">
        <f t="shared" si="68"/>
        <v>0</v>
      </c>
      <c r="AZ88" s="70">
        <f t="shared" si="68"/>
        <v>0</v>
      </c>
      <c r="BA88" s="70">
        <f t="shared" si="68"/>
        <v>0</v>
      </c>
      <c r="BB88" s="70">
        <f t="shared" si="68"/>
        <v>0</v>
      </c>
      <c r="BC88" s="70">
        <f xml:space="preserve"> BC86 * BC87</f>
        <v>0</v>
      </c>
      <c r="BD88" s="135">
        <f>SUM(BE54:BE84)</f>
        <v>5854.166666666667</v>
      </c>
      <c r="BE88" s="135"/>
      <c r="BF88" s="135">
        <f>SUM(BG42:BG84)</f>
        <v>884.15479166666671</v>
      </c>
      <c r="BG88" s="135"/>
      <c r="BH88" s="135">
        <f>SUM(BJ54:BJ84)</f>
        <v>9546.1500000000015</v>
      </c>
      <c r="BI88" s="135"/>
      <c r="BJ88" s="135"/>
      <c r="BK88" s="70">
        <f>BK87 * BK86</f>
        <v>0</v>
      </c>
      <c r="BL88" s="70">
        <f>BL87 * BL86</f>
        <v>10000</v>
      </c>
      <c r="BM88" s="135">
        <f>SUM(BN54:BN84)</f>
        <v>0</v>
      </c>
      <c r="BN88" s="135"/>
      <c r="BO88" s="135">
        <f>SUM(BP54:BP84)</f>
        <v>0</v>
      </c>
      <c r="BP88" s="136"/>
      <c r="BR88" s="42">
        <f ca="1">SUM(S88:V88, Z88:BO88) + MAX(W88:Y88)</f>
        <v>2103092.1981250001</v>
      </c>
      <c r="BS88" s="48">
        <v>0.1</v>
      </c>
      <c r="BT88" s="42">
        <f ca="1">BR88 * (1 + BS88)</f>
        <v>2313401.4179375004</v>
      </c>
    </row>
    <row r="89" spans="1:72" x14ac:dyDescent="0.25">
      <c r="A89" s="80"/>
      <c r="B89" s="4"/>
      <c r="C89" s="5"/>
      <c r="D89" s="6"/>
      <c r="E89" s="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42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85"/>
      <c r="BR89" s="42"/>
      <c r="BS89" s="48"/>
      <c r="BT89" s="42"/>
    </row>
    <row r="90" spans="1:72" s="4" customFormat="1" x14ac:dyDescent="0.25">
      <c r="A90" s="80" t="s">
        <v>220</v>
      </c>
      <c r="C90" s="5"/>
      <c r="D90" s="6"/>
      <c r="E90" s="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70">
        <f>S86 * S87</f>
        <v>1603300.0000000002</v>
      </c>
      <c r="T90" s="70">
        <f t="shared" ref="T90:BO90" si="69">T86 * T87</f>
        <v>220000</v>
      </c>
      <c r="U90" s="70">
        <f t="shared" si="69"/>
        <v>159003</v>
      </c>
      <c r="V90" s="70">
        <f t="shared" si="69"/>
        <v>20350.499999999996</v>
      </c>
      <c r="W90" s="70">
        <f t="shared" si="69"/>
        <v>0</v>
      </c>
      <c r="X90" s="70">
        <f t="shared" si="69"/>
        <v>0</v>
      </c>
      <c r="Y90" s="70">
        <f t="shared" si="69"/>
        <v>0</v>
      </c>
      <c r="Z90" s="70">
        <f t="shared" si="69"/>
        <v>0</v>
      </c>
      <c r="AA90" s="70">
        <f t="shared" si="69"/>
        <v>0</v>
      </c>
      <c r="AB90" s="135">
        <f t="shared" ca="1" si="69"/>
        <v>51399.000000000007</v>
      </c>
      <c r="AC90" s="135"/>
      <c r="AD90" s="135"/>
      <c r="AE90" s="135">
        <f t="shared" ca="1" si="69"/>
        <v>58667.999999999993</v>
      </c>
      <c r="AF90" s="135"/>
      <c r="AG90" s="135"/>
      <c r="AH90" s="70">
        <f t="shared" si="69"/>
        <v>0</v>
      </c>
      <c r="AI90" s="70">
        <f t="shared" si="69"/>
        <v>0</v>
      </c>
      <c r="AJ90" s="135">
        <f t="shared" ca="1" si="69"/>
        <v>123500</v>
      </c>
      <c r="AK90" s="135"/>
      <c r="AL90" s="135"/>
      <c r="AM90" s="70">
        <f t="shared" si="69"/>
        <v>0</v>
      </c>
      <c r="AN90" s="70">
        <f t="shared" si="69"/>
        <v>0</v>
      </c>
      <c r="AO90" s="70">
        <f t="shared" si="69"/>
        <v>0</v>
      </c>
      <c r="AP90" s="70">
        <f t="shared" si="69"/>
        <v>0</v>
      </c>
      <c r="AQ90" s="70">
        <f t="shared" si="69"/>
        <v>0</v>
      </c>
      <c r="AR90" s="135">
        <f t="shared" si="69"/>
        <v>0</v>
      </c>
      <c r="AS90" s="135"/>
      <c r="AT90" s="135">
        <f t="shared" si="69"/>
        <v>0</v>
      </c>
      <c r="AU90" s="135"/>
      <c r="AV90" s="70">
        <f t="shared" si="69"/>
        <v>0</v>
      </c>
      <c r="AW90" s="70">
        <f t="shared" si="69"/>
        <v>0</v>
      </c>
      <c r="AX90" s="70">
        <f t="shared" si="69"/>
        <v>0</v>
      </c>
      <c r="AY90" s="70">
        <f t="shared" si="69"/>
        <v>0</v>
      </c>
      <c r="AZ90" s="70">
        <f t="shared" si="69"/>
        <v>0</v>
      </c>
      <c r="BA90" s="70">
        <f t="shared" si="69"/>
        <v>0</v>
      </c>
      <c r="BB90" s="70">
        <f t="shared" si="69"/>
        <v>0</v>
      </c>
      <c r="BC90" s="70">
        <f t="shared" si="69"/>
        <v>0</v>
      </c>
      <c r="BD90" s="135">
        <f t="shared" si="69"/>
        <v>11000</v>
      </c>
      <c r="BE90" s="135"/>
      <c r="BF90" s="135">
        <f t="shared" si="69"/>
        <v>1661.33</v>
      </c>
      <c r="BG90" s="135"/>
      <c r="BH90" s="135">
        <f t="shared" si="69"/>
        <v>11068</v>
      </c>
      <c r="BI90" s="135"/>
      <c r="BJ90" s="135"/>
      <c r="BK90" s="70">
        <f t="shared" si="69"/>
        <v>0</v>
      </c>
      <c r="BL90" s="70">
        <f t="shared" si="69"/>
        <v>10000</v>
      </c>
      <c r="BM90" s="135">
        <f t="shared" si="69"/>
        <v>0</v>
      </c>
      <c r="BN90" s="135"/>
      <c r="BO90" s="135">
        <f t="shared" si="69"/>
        <v>0</v>
      </c>
      <c r="BP90" s="136"/>
      <c r="BR90" s="42">
        <f ca="1">SUM(S90:V90, Z90:BP90) + MAX(W90:Y90)</f>
        <v>2269949.83</v>
      </c>
      <c r="BS90" s="48"/>
      <c r="BT90" s="42"/>
    </row>
    <row r="91" spans="1:72" ht="15.75" thickBot="1" x14ac:dyDescent="0.3">
      <c r="A91" s="82"/>
      <c r="B91" s="72"/>
      <c r="C91" s="73"/>
      <c r="D91" s="74"/>
      <c r="E91" s="74"/>
      <c r="F91" s="75"/>
      <c r="G91" s="75"/>
      <c r="H91" s="73"/>
      <c r="I91" s="74"/>
      <c r="J91" s="74"/>
      <c r="K91" s="74"/>
      <c r="L91" s="74"/>
      <c r="M91" s="74"/>
      <c r="N91" s="74"/>
      <c r="O91" s="75"/>
      <c r="P91" s="74"/>
      <c r="Q91" s="74"/>
      <c r="R91" s="72"/>
      <c r="S91" s="77"/>
      <c r="T91" s="194"/>
      <c r="U91" s="77"/>
      <c r="V91" s="77"/>
      <c r="W91" s="77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7"/>
      <c r="AJ91" s="77"/>
      <c r="AK91" s="77"/>
      <c r="AL91" s="76"/>
      <c r="AM91" s="76"/>
      <c r="AN91" s="76"/>
      <c r="AO91" s="76"/>
      <c r="AP91" s="76"/>
      <c r="AQ91" s="76"/>
      <c r="AR91" s="73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3"/>
      <c r="BD91" s="76"/>
      <c r="BE91" s="76"/>
      <c r="BF91" s="77"/>
      <c r="BG91" s="76"/>
      <c r="BH91" s="77"/>
      <c r="BI91" s="73"/>
      <c r="BJ91" s="76"/>
      <c r="BK91" s="76"/>
      <c r="BL91" s="76"/>
      <c r="BM91" s="76"/>
      <c r="BN91" s="76"/>
      <c r="BO91" s="73"/>
      <c r="BP91" s="78"/>
    </row>
    <row r="92" spans="1:72" ht="15.75" thickTop="1" x14ac:dyDescent="0.25">
      <c r="A92" s="145" t="s">
        <v>156</v>
      </c>
      <c r="B92" s="56" t="s">
        <v>44</v>
      </c>
      <c r="C92" s="57">
        <v>1020</v>
      </c>
      <c r="D92" s="58">
        <v>16</v>
      </c>
      <c r="E92" s="58">
        <v>3</v>
      </c>
      <c r="F92" s="59">
        <f t="shared" si="61"/>
        <v>16320</v>
      </c>
      <c r="G92" s="59">
        <f t="shared" si="62"/>
        <v>1813.3333333333333</v>
      </c>
      <c r="H92" s="57">
        <f t="shared" si="63"/>
        <v>151.11111111111109</v>
      </c>
      <c r="I92" s="58">
        <v>110</v>
      </c>
      <c r="J92" s="58">
        <f t="shared" si="64"/>
        <v>300</v>
      </c>
      <c r="K92" s="58" t="s">
        <v>60</v>
      </c>
      <c r="L92" s="58"/>
      <c r="M92" s="58"/>
      <c r="N92" s="58"/>
      <c r="O92" s="59"/>
      <c r="P92" s="58"/>
      <c r="Q92" s="58"/>
      <c r="R92" s="56"/>
      <c r="S92" s="61">
        <f>J92*S$103</f>
        <v>48099.000000000007</v>
      </c>
      <c r="T92" s="193">
        <f>IF(K92 = "Total Reconstruction", 0, G92*T$103)</f>
        <v>7253.333333333333</v>
      </c>
      <c r="U92" s="61">
        <f>IF(O92 = 0, 0, O92*U$103)</f>
        <v>0</v>
      </c>
      <c r="V92" s="61">
        <f>IF(P92 = 0, 0, P92*V$103)</f>
        <v>0</v>
      </c>
      <c r="W92" s="61">
        <f>IF(K92 = "Total Reconstruction", G92 * W$103, 0)</f>
        <v>0</v>
      </c>
      <c r="X92" s="60">
        <f>IF(K92 = "Total Reconstruction", G92 * X$103, 0)</f>
        <v>0</v>
      </c>
      <c r="Y92" s="60">
        <f>IF(K92 = "Total Reconstruction", G92 * Y$103, 0)</f>
        <v>0</v>
      </c>
      <c r="Z92" s="60">
        <f>IF(K92 = "Total Reconstruction", G92 * Z$103, 0)</f>
        <v>0</v>
      </c>
      <c r="AA92" s="60">
        <f>IF(K92 = "Total Reconstruction", C92 * AA$103, 0) / 5280</f>
        <v>0</v>
      </c>
      <c r="AB92" s="134" t="s">
        <v>153</v>
      </c>
      <c r="AC92" s="134"/>
      <c r="AD92" s="134"/>
      <c r="AE92" s="134" t="s">
        <v>153</v>
      </c>
      <c r="AF92" s="134"/>
      <c r="AG92" s="134"/>
      <c r="AH92" s="60"/>
      <c r="AI92" s="61"/>
      <c r="AJ92" s="134" t="s">
        <v>166</v>
      </c>
      <c r="AK92" s="134"/>
      <c r="AL92" s="134"/>
      <c r="AM92" s="60"/>
      <c r="AN92" s="60"/>
      <c r="AO92" s="60"/>
      <c r="AP92" s="60"/>
      <c r="AQ92" s="60"/>
      <c r="AR92" s="57"/>
      <c r="AS92" s="60">
        <f>IF(AR92&gt;0, AR92 * AR$103, 0)</f>
        <v>0</v>
      </c>
      <c r="AT92" s="60"/>
      <c r="AU92" s="60">
        <f>IF(AT92&gt;0, AT92 * AT$103, 0)</f>
        <v>0</v>
      </c>
      <c r="AV92" s="60"/>
      <c r="AW92" s="60"/>
      <c r="AX92" s="60"/>
      <c r="AY92" s="60"/>
      <c r="AZ92" s="60"/>
      <c r="BA92" s="60"/>
      <c r="BB92" s="60"/>
      <c r="BC92" s="57">
        <f t="shared" ref="BC92:BC100" si="70">IF(AR92 &gt; 0, (((2 * AS$2) + AR$2) * AR92 * (BC$2 / 12))/27, 0) + IF(AT92 &gt; 0, (((2 * AU$2) + AT$2) * AT92 * (BC$2 / 12))/27, 0)</f>
        <v>0</v>
      </c>
      <c r="BD92" s="60"/>
      <c r="BE92" s="60">
        <f t="shared" ref="BE92:BE100" si="71">IF(BD92 = "X", ((2 * (C92/5280)) * BD$103), 0)</f>
        <v>0</v>
      </c>
      <c r="BF92" s="61"/>
      <c r="BG92" s="60">
        <f t="shared" ref="BG92:BG100" si="72">IF(BF92 = "X", ((2 * (E92/5280)) * BF$103), 0)</f>
        <v>0</v>
      </c>
      <c r="BH92" s="61" t="s">
        <v>166</v>
      </c>
      <c r="BI92" s="57">
        <v>1</v>
      </c>
      <c r="BJ92" s="60">
        <f t="shared" ref="BJ92:BJ100" si="73">IF(BH92 = "X", BI92 * (D92 * BI$2 * BH$103), 0)</f>
        <v>332.04</v>
      </c>
      <c r="BK92" s="60"/>
      <c r="BL92" s="60"/>
      <c r="BM92" s="60"/>
      <c r="BN92" s="60">
        <f t="shared" ref="BN92:BN100" si="74">IF(BM92 &gt; 0, ((BM92 * (BM$2 * BN$2)/ 9) * BM$103), 0)</f>
        <v>0</v>
      </c>
      <c r="BO92" s="57"/>
      <c r="BP92" s="62">
        <f>IF(BO92 &gt; 0, BO92 * BO$103, 0)</f>
        <v>0</v>
      </c>
    </row>
    <row r="93" spans="1:72" ht="15" customHeight="1" x14ac:dyDescent="0.25">
      <c r="A93" s="146"/>
      <c r="B93" t="s">
        <v>49</v>
      </c>
      <c r="C93" s="2">
        <v>2750</v>
      </c>
      <c r="D93" s="1">
        <v>18</v>
      </c>
      <c r="E93" s="1">
        <v>3</v>
      </c>
      <c r="F93" s="3">
        <f t="shared" si="61"/>
        <v>49500</v>
      </c>
      <c r="G93" s="3">
        <f t="shared" si="62"/>
        <v>5500</v>
      </c>
      <c r="H93" s="2">
        <f t="shared" si="63"/>
        <v>458.33333333333331</v>
      </c>
      <c r="I93" s="1">
        <v>110</v>
      </c>
      <c r="J93" s="1">
        <f t="shared" si="64"/>
        <v>910</v>
      </c>
      <c r="K93" s="1" t="s">
        <v>60</v>
      </c>
      <c r="L93" s="1">
        <v>133</v>
      </c>
      <c r="M93" s="1">
        <v>5</v>
      </c>
      <c r="N93" s="1">
        <f>L93 * M93</f>
        <v>665</v>
      </c>
      <c r="O93" s="3">
        <f>N93 / 9</f>
        <v>73.888888888888886</v>
      </c>
      <c r="S93" s="47">
        <f t="shared" ref="S93:S100" si="75">J93*S$103</f>
        <v>145900.30000000002</v>
      </c>
      <c r="T93" s="192">
        <f t="shared" ref="T93:T100" si="76">IF(K93 = "Total Reconstruction", 0, G93*T$103)</f>
        <v>22000</v>
      </c>
      <c r="U93" s="47">
        <f t="shared" ref="U93:U100" si="77">IF(O93 = 0, 0, O93*U$103)</f>
        <v>13053.949999999999</v>
      </c>
      <c r="V93" s="47">
        <f t="shared" ref="V93:V100" si="78">IF(P93 = 0, 0, P93*V$103)</f>
        <v>0</v>
      </c>
      <c r="W93" s="47">
        <f t="shared" ref="W93:W100" si="79">IF(K93 = "Total Reconstruction", G93 * W$103, 0)</f>
        <v>0</v>
      </c>
      <c r="X93" s="43">
        <f t="shared" ref="X93:X100" si="80">IF(K93 = "Total Reconstruction", G93 * X$103, 0)</f>
        <v>0</v>
      </c>
      <c r="Y93" s="43">
        <f t="shared" ref="Y93:Y100" si="81">IF(K93 = "Total Reconstruction", G93 * Y$103, 0)</f>
        <v>0</v>
      </c>
      <c r="Z93" s="43">
        <f t="shared" ref="Z93:Z100" si="82">IF(K93 = "Total Reconstruction", G93 * Z$103, 0)</f>
        <v>0</v>
      </c>
      <c r="AA93" s="43">
        <f t="shared" ref="AA93:AA100" si="83">IF(K93 = "Total Reconstruction", C93 * AA$103, 0) / 5280</f>
        <v>0</v>
      </c>
      <c r="AB93" s="133" t="s">
        <v>166</v>
      </c>
      <c r="AC93" s="133"/>
      <c r="AD93" s="133"/>
      <c r="AE93" s="133" t="s">
        <v>166</v>
      </c>
      <c r="AF93" s="133"/>
      <c r="AG93" s="133"/>
      <c r="AJ93" s="133" t="s">
        <v>166</v>
      </c>
      <c r="AK93" s="133"/>
      <c r="AL93" s="133"/>
      <c r="AS93" s="43">
        <f>IF(AR93&gt;0, AR93 * AR$103, 0)</f>
        <v>0</v>
      </c>
      <c r="AU93" s="43">
        <f>IF(AT93&gt;0, AT93 * AT$103, 0)</f>
        <v>0</v>
      </c>
      <c r="BC93" s="2">
        <f t="shared" si="70"/>
        <v>0</v>
      </c>
      <c r="BE93" s="43">
        <f t="shared" si="71"/>
        <v>0</v>
      </c>
      <c r="BG93" s="43">
        <f t="shared" si="72"/>
        <v>0</v>
      </c>
      <c r="BH93" s="47" t="s">
        <v>166</v>
      </c>
      <c r="BI93" s="2">
        <v>1</v>
      </c>
      <c r="BJ93" s="43">
        <f t="shared" si="73"/>
        <v>373.54500000000002</v>
      </c>
      <c r="BN93" s="43">
        <f t="shared" si="74"/>
        <v>0</v>
      </c>
      <c r="BP93" s="64">
        <f t="shared" ref="BP93:BP100" si="84">IF(BO93 &gt; 0, BO93 * BO$103, 0)</f>
        <v>0</v>
      </c>
    </row>
    <row r="94" spans="1:72" x14ac:dyDescent="0.25">
      <c r="A94" s="146"/>
      <c r="F94" s="3"/>
      <c r="G94" s="3"/>
      <c r="H94" s="2"/>
      <c r="L94" s="1">
        <v>105</v>
      </c>
      <c r="M94" s="1">
        <v>7</v>
      </c>
      <c r="N94" s="1">
        <f>L94 * M94</f>
        <v>735</v>
      </c>
      <c r="O94" s="3">
        <f>N94 / 9</f>
        <v>81.666666666666671</v>
      </c>
      <c r="S94" s="47">
        <f t="shared" si="75"/>
        <v>0</v>
      </c>
      <c r="T94" s="192">
        <f t="shared" si="76"/>
        <v>0</v>
      </c>
      <c r="U94" s="47">
        <f t="shared" si="77"/>
        <v>14428.05</v>
      </c>
      <c r="V94" s="47">
        <f t="shared" si="78"/>
        <v>0</v>
      </c>
      <c r="W94" s="47">
        <f t="shared" si="79"/>
        <v>0</v>
      </c>
      <c r="X94" s="43">
        <f t="shared" si="80"/>
        <v>0</v>
      </c>
      <c r="Y94" s="43">
        <f t="shared" si="81"/>
        <v>0</v>
      </c>
      <c r="Z94" s="43">
        <f t="shared" si="82"/>
        <v>0</v>
      </c>
      <c r="AA94" s="43">
        <f t="shared" si="83"/>
        <v>0</v>
      </c>
      <c r="AB94" s="133"/>
      <c r="AC94" s="133"/>
      <c r="AD94" s="133"/>
      <c r="AE94" s="133"/>
      <c r="AF94" s="133"/>
      <c r="AG94" s="133"/>
      <c r="AJ94" s="133"/>
      <c r="AK94" s="133"/>
      <c r="AL94" s="133"/>
      <c r="AS94" s="43">
        <f t="shared" ref="AS94:AU100" si="85">IF(AR94&gt;0, AR94 * AR$103, 0)</f>
        <v>0</v>
      </c>
      <c r="AU94" s="43">
        <f t="shared" si="85"/>
        <v>0</v>
      </c>
      <c r="BC94" s="2">
        <f t="shared" si="70"/>
        <v>0</v>
      </c>
      <c r="BE94" s="43">
        <f t="shared" si="71"/>
        <v>0</v>
      </c>
      <c r="BG94" s="43">
        <f t="shared" si="72"/>
        <v>0</v>
      </c>
      <c r="BJ94" s="43">
        <f t="shared" si="73"/>
        <v>0</v>
      </c>
      <c r="BN94" s="43">
        <f t="shared" si="74"/>
        <v>0</v>
      </c>
      <c r="BP94" s="64">
        <f t="shared" si="84"/>
        <v>0</v>
      </c>
    </row>
    <row r="95" spans="1:72" x14ac:dyDescent="0.25">
      <c r="A95" s="146"/>
      <c r="F95" s="3"/>
      <c r="G95" s="3"/>
      <c r="H95" s="2"/>
      <c r="L95" s="1">
        <v>10</v>
      </c>
      <c r="M95" s="1">
        <v>23</v>
      </c>
      <c r="N95" s="1">
        <f>L95 * M95</f>
        <v>230</v>
      </c>
      <c r="O95" s="3">
        <f>N95 / 9</f>
        <v>25.555555555555557</v>
      </c>
      <c r="S95" s="47">
        <f t="shared" si="75"/>
        <v>0</v>
      </c>
      <c r="T95" s="192">
        <f t="shared" si="76"/>
        <v>0</v>
      </c>
      <c r="U95" s="47">
        <f t="shared" si="77"/>
        <v>4514.8999999999996</v>
      </c>
      <c r="V95" s="47">
        <f t="shared" si="78"/>
        <v>0</v>
      </c>
      <c r="W95" s="47">
        <f t="shared" si="79"/>
        <v>0</v>
      </c>
      <c r="X95" s="43">
        <f t="shared" si="80"/>
        <v>0</v>
      </c>
      <c r="Y95" s="43">
        <f t="shared" si="81"/>
        <v>0</v>
      </c>
      <c r="Z95" s="43">
        <f t="shared" si="82"/>
        <v>0</v>
      </c>
      <c r="AA95" s="43">
        <f t="shared" si="83"/>
        <v>0</v>
      </c>
      <c r="AB95" s="133"/>
      <c r="AC95" s="133"/>
      <c r="AD95" s="133"/>
      <c r="AE95" s="133"/>
      <c r="AF95" s="133"/>
      <c r="AG95" s="133"/>
      <c r="AJ95" s="133"/>
      <c r="AK95" s="133"/>
      <c r="AL95" s="133"/>
      <c r="AS95" s="43">
        <f t="shared" si="85"/>
        <v>0</v>
      </c>
      <c r="AU95" s="43">
        <f t="shared" si="85"/>
        <v>0</v>
      </c>
      <c r="BC95" s="2">
        <f t="shared" si="70"/>
        <v>0</v>
      </c>
      <c r="BE95" s="43">
        <f t="shared" si="71"/>
        <v>0</v>
      </c>
      <c r="BG95" s="43">
        <f t="shared" si="72"/>
        <v>0</v>
      </c>
      <c r="BJ95" s="43">
        <f t="shared" si="73"/>
        <v>0</v>
      </c>
      <c r="BN95" s="43">
        <f t="shared" si="74"/>
        <v>0</v>
      </c>
      <c r="BP95" s="64">
        <f t="shared" si="84"/>
        <v>0</v>
      </c>
    </row>
    <row r="96" spans="1:72" x14ac:dyDescent="0.25">
      <c r="A96" s="146"/>
      <c r="B96" t="s">
        <v>9</v>
      </c>
      <c r="C96" s="2">
        <v>2717</v>
      </c>
      <c r="D96" s="1">
        <v>22.5</v>
      </c>
      <c r="E96" s="1">
        <v>3</v>
      </c>
      <c r="F96" s="3">
        <f>C96*D96</f>
        <v>61132.5</v>
      </c>
      <c r="G96" s="3">
        <f>F96/9</f>
        <v>6792.5</v>
      </c>
      <c r="H96" s="2">
        <f xml:space="preserve"> (G96* (E96 / 36))</f>
        <v>566.04166666666663</v>
      </c>
      <c r="I96" s="1">
        <v>110</v>
      </c>
      <c r="J96" s="1">
        <f xml:space="preserve"> ROUNDUP(((I96 * E96 * G96)/2000), -1)</f>
        <v>1130</v>
      </c>
      <c r="K96" s="1" t="s">
        <v>60</v>
      </c>
      <c r="O96" s="3"/>
      <c r="Q96" s="1">
        <v>1</v>
      </c>
      <c r="S96" s="47">
        <f t="shared" si="75"/>
        <v>181172.90000000002</v>
      </c>
      <c r="T96" s="192">
        <f t="shared" si="76"/>
        <v>27170</v>
      </c>
      <c r="U96" s="47">
        <f t="shared" si="77"/>
        <v>0</v>
      </c>
      <c r="V96" s="47">
        <f t="shared" si="78"/>
        <v>0</v>
      </c>
      <c r="W96" s="47">
        <f t="shared" si="79"/>
        <v>0</v>
      </c>
      <c r="X96" s="43">
        <f t="shared" si="80"/>
        <v>0</v>
      </c>
      <c r="Y96" s="43">
        <f t="shared" si="81"/>
        <v>0</v>
      </c>
      <c r="Z96" s="43">
        <f t="shared" si="82"/>
        <v>0</v>
      </c>
      <c r="AA96" s="43">
        <f t="shared" si="83"/>
        <v>0</v>
      </c>
      <c r="AB96" s="133"/>
      <c r="AC96" s="133"/>
      <c r="AD96" s="133"/>
      <c r="AE96" s="133"/>
      <c r="AF96" s="133"/>
      <c r="AG96" s="133"/>
      <c r="AH96" s="2">
        <v>1</v>
      </c>
      <c r="AJ96" s="133"/>
      <c r="AK96" s="133"/>
      <c r="AL96" s="133"/>
      <c r="AS96" s="43">
        <f t="shared" si="85"/>
        <v>0</v>
      </c>
      <c r="AU96" s="43">
        <f t="shared" si="85"/>
        <v>0</v>
      </c>
      <c r="BC96" s="2">
        <f t="shared" si="70"/>
        <v>0</v>
      </c>
      <c r="BE96" s="43">
        <f t="shared" si="71"/>
        <v>0</v>
      </c>
      <c r="BG96" s="43">
        <f t="shared" si="72"/>
        <v>0</v>
      </c>
      <c r="BH96" s="47" t="s">
        <v>166</v>
      </c>
      <c r="BI96" s="2">
        <v>1</v>
      </c>
      <c r="BJ96" s="43">
        <f t="shared" si="73"/>
        <v>466.93125000000003</v>
      </c>
      <c r="BN96" s="43">
        <f t="shared" si="74"/>
        <v>0</v>
      </c>
      <c r="BP96" s="64">
        <f t="shared" si="84"/>
        <v>0</v>
      </c>
    </row>
    <row r="97" spans="1:72" x14ac:dyDescent="0.25">
      <c r="A97" s="146"/>
      <c r="B97" t="s">
        <v>10</v>
      </c>
      <c r="C97" s="2">
        <v>538</v>
      </c>
      <c r="D97" s="1">
        <v>22.5</v>
      </c>
      <c r="E97" s="1">
        <v>3</v>
      </c>
      <c r="F97" s="3">
        <f>C97*D97</f>
        <v>12105</v>
      </c>
      <c r="G97" s="3">
        <f>F97/9</f>
        <v>1345</v>
      </c>
      <c r="H97" s="2">
        <f xml:space="preserve"> (G97* (E97 / 36))</f>
        <v>112.08333333333333</v>
      </c>
      <c r="I97" s="1">
        <v>110</v>
      </c>
      <c r="J97" s="1">
        <f xml:space="preserve"> ROUNDUP(((I97 * E97 * G97)/2000), -1)</f>
        <v>230</v>
      </c>
      <c r="K97" s="1" t="s">
        <v>60</v>
      </c>
      <c r="O97" s="3"/>
      <c r="Q97" s="1">
        <v>1</v>
      </c>
      <c r="S97" s="47">
        <f t="shared" si="75"/>
        <v>36875.9</v>
      </c>
      <c r="T97" s="192">
        <f t="shared" si="76"/>
        <v>5380</v>
      </c>
      <c r="U97" s="47">
        <f t="shared" si="77"/>
        <v>0</v>
      </c>
      <c r="V97" s="47">
        <f t="shared" si="78"/>
        <v>0</v>
      </c>
      <c r="W97" s="47">
        <f t="shared" si="79"/>
        <v>0</v>
      </c>
      <c r="X97" s="43">
        <f t="shared" si="80"/>
        <v>0</v>
      </c>
      <c r="Y97" s="43">
        <f t="shared" si="81"/>
        <v>0</v>
      </c>
      <c r="Z97" s="43">
        <f t="shared" si="82"/>
        <v>0</v>
      </c>
      <c r="AA97" s="43">
        <f t="shared" si="83"/>
        <v>0</v>
      </c>
      <c r="AB97" s="133"/>
      <c r="AC97" s="133"/>
      <c r="AD97" s="133"/>
      <c r="AE97" s="133"/>
      <c r="AF97" s="133"/>
      <c r="AG97" s="133"/>
      <c r="AH97" s="2">
        <v>1</v>
      </c>
      <c r="AJ97" s="133"/>
      <c r="AK97" s="133"/>
      <c r="AL97" s="133"/>
      <c r="AS97" s="43">
        <f t="shared" si="85"/>
        <v>0</v>
      </c>
      <c r="AU97" s="43">
        <f t="shared" si="85"/>
        <v>0</v>
      </c>
      <c r="BC97" s="2">
        <f t="shared" si="70"/>
        <v>0</v>
      </c>
      <c r="BE97" s="43">
        <f t="shared" si="71"/>
        <v>0</v>
      </c>
      <c r="BG97" s="43">
        <f t="shared" si="72"/>
        <v>0</v>
      </c>
      <c r="BH97" s="47" t="s">
        <v>166</v>
      </c>
      <c r="BI97" s="2">
        <v>1</v>
      </c>
      <c r="BJ97" s="43">
        <f t="shared" si="73"/>
        <v>466.93125000000003</v>
      </c>
      <c r="BN97" s="43">
        <f t="shared" si="74"/>
        <v>0</v>
      </c>
      <c r="BP97" s="64">
        <f t="shared" si="84"/>
        <v>0</v>
      </c>
    </row>
    <row r="98" spans="1:72" x14ac:dyDescent="0.25">
      <c r="A98" s="146"/>
      <c r="B98" t="s">
        <v>11</v>
      </c>
      <c r="C98" s="2">
        <v>276</v>
      </c>
      <c r="D98" s="1">
        <v>22.5</v>
      </c>
      <c r="E98" s="1">
        <v>3</v>
      </c>
      <c r="F98" s="3">
        <f>C98*D98</f>
        <v>6210</v>
      </c>
      <c r="G98" s="3">
        <f>F98/9</f>
        <v>690</v>
      </c>
      <c r="H98" s="2">
        <f xml:space="preserve"> (G98* (E98 / 36))</f>
        <v>57.5</v>
      </c>
      <c r="I98" s="1">
        <v>110</v>
      </c>
      <c r="J98" s="1">
        <f xml:space="preserve"> ROUNDUP(((I98 * E98 * G98)/2000), -1)</f>
        <v>120</v>
      </c>
      <c r="K98" s="1" t="s">
        <v>60</v>
      </c>
      <c r="O98" s="3"/>
      <c r="Q98" s="1">
        <v>1</v>
      </c>
      <c r="S98" s="47">
        <f t="shared" si="75"/>
        <v>19239.600000000002</v>
      </c>
      <c r="T98" s="192">
        <f t="shared" si="76"/>
        <v>2760</v>
      </c>
      <c r="U98" s="47">
        <f t="shared" si="77"/>
        <v>0</v>
      </c>
      <c r="V98" s="47">
        <f t="shared" si="78"/>
        <v>0</v>
      </c>
      <c r="W98" s="47">
        <f t="shared" si="79"/>
        <v>0</v>
      </c>
      <c r="X98" s="43">
        <f t="shared" si="80"/>
        <v>0</v>
      </c>
      <c r="Y98" s="43">
        <f t="shared" si="81"/>
        <v>0</v>
      </c>
      <c r="Z98" s="43">
        <f t="shared" si="82"/>
        <v>0</v>
      </c>
      <c r="AA98" s="43">
        <f t="shared" si="83"/>
        <v>0</v>
      </c>
      <c r="AB98" s="133"/>
      <c r="AC98" s="133"/>
      <c r="AD98" s="133"/>
      <c r="AE98" s="133"/>
      <c r="AF98" s="133"/>
      <c r="AG98" s="133"/>
      <c r="AH98" s="2">
        <v>1</v>
      </c>
      <c r="AJ98" s="133"/>
      <c r="AK98" s="133"/>
      <c r="AL98" s="133"/>
      <c r="AS98" s="43">
        <f t="shared" si="85"/>
        <v>0</v>
      </c>
      <c r="AU98" s="43">
        <f t="shared" si="85"/>
        <v>0</v>
      </c>
      <c r="BC98" s="2">
        <f t="shared" si="70"/>
        <v>0</v>
      </c>
      <c r="BE98" s="43">
        <f t="shared" si="71"/>
        <v>0</v>
      </c>
      <c r="BG98" s="43">
        <f t="shared" si="72"/>
        <v>0</v>
      </c>
      <c r="BH98" s="47" t="s">
        <v>166</v>
      </c>
      <c r="BI98" s="2">
        <v>1</v>
      </c>
      <c r="BJ98" s="43">
        <f t="shared" si="73"/>
        <v>466.93125000000003</v>
      </c>
      <c r="BN98" s="43">
        <f t="shared" si="74"/>
        <v>0</v>
      </c>
      <c r="BP98" s="64">
        <f t="shared" si="84"/>
        <v>0</v>
      </c>
    </row>
    <row r="99" spans="1:72" x14ac:dyDescent="0.25">
      <c r="A99" s="146"/>
      <c r="B99" t="s">
        <v>12</v>
      </c>
      <c r="C99" s="2">
        <v>255</v>
      </c>
      <c r="D99" s="1">
        <v>22.5</v>
      </c>
      <c r="E99" s="1">
        <v>3</v>
      </c>
      <c r="F99" s="3">
        <f>C99*D99</f>
        <v>5737.5</v>
      </c>
      <c r="G99" s="3">
        <f>F99/9</f>
        <v>637.5</v>
      </c>
      <c r="H99" s="2">
        <f xml:space="preserve"> (G99* (E99 / 36))</f>
        <v>53.125</v>
      </c>
      <c r="I99" s="1">
        <v>110</v>
      </c>
      <c r="J99" s="1">
        <f xml:space="preserve"> ROUNDUP(((I99 * E99 * G99)/2000), -1)</f>
        <v>110</v>
      </c>
      <c r="K99" s="1" t="s">
        <v>60</v>
      </c>
      <c r="O99" s="3"/>
      <c r="Q99" s="1">
        <v>1</v>
      </c>
      <c r="S99" s="47">
        <f t="shared" si="75"/>
        <v>17636.300000000003</v>
      </c>
      <c r="T99" s="192">
        <f t="shared" si="76"/>
        <v>2550</v>
      </c>
      <c r="U99" s="47">
        <f t="shared" si="77"/>
        <v>0</v>
      </c>
      <c r="V99" s="47">
        <f t="shared" si="78"/>
        <v>0</v>
      </c>
      <c r="W99" s="47">
        <f t="shared" si="79"/>
        <v>0</v>
      </c>
      <c r="X99" s="43">
        <f t="shared" si="80"/>
        <v>0</v>
      </c>
      <c r="Y99" s="43">
        <f t="shared" si="81"/>
        <v>0</v>
      </c>
      <c r="Z99" s="43">
        <f t="shared" si="82"/>
        <v>0</v>
      </c>
      <c r="AA99" s="43">
        <f t="shared" si="83"/>
        <v>0</v>
      </c>
      <c r="AB99" s="133"/>
      <c r="AC99" s="133"/>
      <c r="AD99" s="133"/>
      <c r="AE99" s="133"/>
      <c r="AF99" s="133"/>
      <c r="AG99" s="133"/>
      <c r="AH99" s="2">
        <v>1</v>
      </c>
      <c r="AJ99" s="133"/>
      <c r="AK99" s="133"/>
      <c r="AL99" s="133"/>
      <c r="AS99" s="43">
        <f t="shared" si="85"/>
        <v>0</v>
      </c>
      <c r="AU99" s="43">
        <f t="shared" si="85"/>
        <v>0</v>
      </c>
      <c r="BC99" s="2">
        <f t="shared" si="70"/>
        <v>0</v>
      </c>
      <c r="BE99" s="43">
        <f t="shared" si="71"/>
        <v>0</v>
      </c>
      <c r="BG99" s="43">
        <f t="shared" si="72"/>
        <v>0</v>
      </c>
      <c r="BH99" s="47" t="s">
        <v>166</v>
      </c>
      <c r="BI99" s="2">
        <v>1</v>
      </c>
      <c r="BJ99" s="43">
        <f t="shared" si="73"/>
        <v>466.93125000000003</v>
      </c>
      <c r="BN99" s="43">
        <f t="shared" si="74"/>
        <v>0</v>
      </c>
      <c r="BP99" s="64">
        <f t="shared" si="84"/>
        <v>0</v>
      </c>
    </row>
    <row r="100" spans="1:72" x14ac:dyDescent="0.25">
      <c r="A100" s="146"/>
      <c r="B100" t="s">
        <v>46</v>
      </c>
      <c r="C100" s="2">
        <v>320</v>
      </c>
      <c r="D100" s="1">
        <v>22.5</v>
      </c>
      <c r="E100" s="1">
        <v>3</v>
      </c>
      <c r="F100" s="3">
        <f>C100*D100</f>
        <v>7200</v>
      </c>
      <c r="G100" s="3">
        <f>F100/9</f>
        <v>800</v>
      </c>
      <c r="H100" s="2">
        <f xml:space="preserve"> (G100* (E100 / 36))</f>
        <v>66.666666666666657</v>
      </c>
      <c r="I100" s="1">
        <v>110</v>
      </c>
      <c r="J100" s="1">
        <f xml:space="preserve"> ROUNDUP(((I100 * E100 * G100)/2000), -1)</f>
        <v>140</v>
      </c>
      <c r="K100" s="1" t="s">
        <v>60</v>
      </c>
      <c r="O100" s="3"/>
      <c r="S100" s="47">
        <f t="shared" si="75"/>
        <v>22446.2</v>
      </c>
      <c r="T100" s="192">
        <f t="shared" si="76"/>
        <v>3200</v>
      </c>
      <c r="U100" s="47">
        <f t="shared" si="77"/>
        <v>0</v>
      </c>
      <c r="V100" s="47">
        <f t="shared" si="78"/>
        <v>0</v>
      </c>
      <c r="W100" s="47">
        <f t="shared" si="79"/>
        <v>0</v>
      </c>
      <c r="X100" s="43">
        <f t="shared" si="80"/>
        <v>0</v>
      </c>
      <c r="Y100" s="43">
        <f t="shared" si="81"/>
        <v>0</v>
      </c>
      <c r="Z100" s="43">
        <f t="shared" si="82"/>
        <v>0</v>
      </c>
      <c r="AA100" s="43">
        <f t="shared" si="83"/>
        <v>0</v>
      </c>
      <c r="AB100" s="133"/>
      <c r="AC100" s="133"/>
      <c r="AD100" s="133"/>
      <c r="AE100" s="133"/>
      <c r="AF100" s="133"/>
      <c r="AG100" s="133"/>
      <c r="AJ100" s="133"/>
      <c r="AK100" s="133"/>
      <c r="AL100" s="133"/>
      <c r="AS100" s="43">
        <f t="shared" si="85"/>
        <v>0</v>
      </c>
      <c r="AU100" s="43">
        <f t="shared" si="85"/>
        <v>0</v>
      </c>
      <c r="BC100" s="2">
        <f t="shared" si="70"/>
        <v>0</v>
      </c>
      <c r="BE100" s="43">
        <f t="shared" si="71"/>
        <v>0</v>
      </c>
      <c r="BG100" s="43">
        <f t="shared" si="72"/>
        <v>0</v>
      </c>
      <c r="BJ100" s="43">
        <f t="shared" si="73"/>
        <v>0</v>
      </c>
      <c r="BK100" s="42"/>
      <c r="BL100" s="42"/>
      <c r="BM100" s="42"/>
      <c r="BN100" s="43">
        <f t="shared" si="74"/>
        <v>0</v>
      </c>
      <c r="BP100" s="64">
        <f t="shared" si="84"/>
        <v>0</v>
      </c>
    </row>
    <row r="101" spans="1:72" x14ac:dyDescent="0.25">
      <c r="A101" s="106"/>
      <c r="F101" s="3"/>
      <c r="G101" s="3"/>
      <c r="H101" s="2"/>
      <c r="O101" s="3"/>
      <c r="BK101" s="42"/>
      <c r="BL101" s="42"/>
      <c r="BM101" s="42"/>
      <c r="BP101" s="64"/>
    </row>
    <row r="102" spans="1:72" x14ac:dyDescent="0.25">
      <c r="A102" s="105" t="s">
        <v>162</v>
      </c>
      <c r="B102" s="1"/>
      <c r="F102" s="3"/>
      <c r="G102" s="3"/>
      <c r="H102" s="2"/>
      <c r="O102" s="3"/>
      <c r="R102" s="1"/>
      <c r="S102" s="2">
        <f>CEILING(J104, 1000)</f>
        <v>3000</v>
      </c>
      <c r="T102" s="66">
        <f>CEILING(SUMIF(K92:K100, "Mill, Patch, Overlay", G92:G100), 1000)</f>
        <v>18000</v>
      </c>
      <c r="U102" s="2">
        <f>CEILING(O104, 100)</f>
        <v>200</v>
      </c>
      <c r="V102" s="2">
        <f>CEILING(P104, 50)</f>
        <v>0</v>
      </c>
      <c r="W102" s="66">
        <f>CEILING(SUMIF(K92:K100, "Total Reconstruction", G92:G100), 1000)</f>
        <v>0</v>
      </c>
      <c r="X102" s="66">
        <f>CEILING(SUMIF(K92:K100, "Total Reconstruction", G92:G100), 1000)</f>
        <v>0</v>
      </c>
      <c r="Y102" s="66">
        <f>CEILING(SUMIF(K92:K100, "Total Reconstruction", G92:G100), 1000)</f>
        <v>0</v>
      </c>
      <c r="Z102" s="66">
        <f>CEILING(SUMIF(K92:K100, "Total Reconstruction", G92:G100), 1000)</f>
        <v>0</v>
      </c>
      <c r="AA102" s="66">
        <f>CEILING(SUMIF(K92:K100, "Total Reconstruction", C92:C100) / 5280, 1)</f>
        <v>0</v>
      </c>
      <c r="AB102" s="138">
        <f ca="1">CEILING(((SUMIF(AB92:AD100, "X", C92:C100) * 2 * AB$2 * (AC$2/12)) / 27 ) * AD2, 100)</f>
        <v>300</v>
      </c>
      <c r="AC102" s="138"/>
      <c r="AD102" s="138"/>
      <c r="AE102" s="138">
        <f ca="1">CEILING(((SUMIF(AE92:AG100, "X", C92:C100) * 2 * AE$2 * (AF$2/12)) / 27 ) * AG2, 100)</f>
        <v>400</v>
      </c>
      <c r="AF102" s="138"/>
      <c r="AG102" s="138"/>
      <c r="AH102" s="2">
        <f>SUM(AH92:AH100)</f>
        <v>4</v>
      </c>
      <c r="AI102" s="66">
        <f>IF(COUNTIF(K92:K100, "TOTAL RECONSTRUCTION") &gt; 0, 1, 0)</f>
        <v>0</v>
      </c>
      <c r="AJ102" s="138">
        <f ca="1">CEILING(((SUMIF(AJ92:AQ100, "X", C92:C100) * 2 * AJ$2 * (AK$2/12)) / 27 ) * AL2, 100)</f>
        <v>400</v>
      </c>
      <c r="AK102" s="138"/>
      <c r="AL102" s="138"/>
      <c r="AM102" s="2"/>
      <c r="AN102" s="2"/>
      <c r="AO102" s="2"/>
      <c r="AP102" s="2"/>
      <c r="AQ102" s="2"/>
      <c r="AR102" s="141">
        <f>CEILING(SUM(AR92:AR100), 100)</f>
        <v>0</v>
      </c>
      <c r="AS102" s="141"/>
      <c r="AT102" s="141">
        <f>CEILING(SUM(AT92:AT100), 100)</f>
        <v>0</v>
      </c>
      <c r="AU102" s="141"/>
      <c r="AV102" s="2"/>
      <c r="AW102" s="2"/>
      <c r="AX102" s="2"/>
      <c r="AY102" s="2"/>
      <c r="AZ102" s="2"/>
      <c r="BA102" s="2"/>
      <c r="BB102" s="2"/>
      <c r="BC102" s="2">
        <f>CEILING(SUM(BC92:BC100), 100)</f>
        <v>0</v>
      </c>
      <c r="BD102" s="141">
        <f>CEILING((SUMIF(BD92:BD100, "=X", C92:C100) * 2) / 5280, 1)</f>
        <v>0</v>
      </c>
      <c r="BE102" s="141"/>
      <c r="BF102" s="141">
        <f>CEILING((SUMIF(BF92:BF100, "=X", C92:C100)) / 5280, 1)</f>
        <v>0</v>
      </c>
      <c r="BG102" s="141"/>
      <c r="BH102" s="141" cm="1">
        <f t="array" ref="BH102">CEILING(SUMPRODUCT((BI92:BI100) * (D92:D100) * (BH92:BH100 = "X")) * BI2, 100)</f>
        <v>100</v>
      </c>
      <c r="BI102" s="141"/>
      <c r="BJ102" s="141"/>
      <c r="BK102" s="2">
        <v>0</v>
      </c>
      <c r="BL102" s="2">
        <v>10000</v>
      </c>
      <c r="BM102" s="138">
        <f>CEILING((SUM(BM92:BM100) * BM2 * BN2) / 9, 100)</f>
        <v>0</v>
      </c>
      <c r="BN102" s="138"/>
      <c r="BO102" s="138">
        <f>SUM(BO92:BO100)</f>
        <v>0</v>
      </c>
      <c r="BP102" s="142"/>
    </row>
    <row r="103" spans="1:72" x14ac:dyDescent="0.25">
      <c r="A103" s="105" t="s">
        <v>161</v>
      </c>
      <c r="B103" s="4"/>
      <c r="C103" s="67"/>
      <c r="D103" s="4"/>
      <c r="E103" s="4"/>
      <c r="F103" s="68"/>
      <c r="G103" s="68"/>
      <c r="H103" s="67"/>
      <c r="I103" s="4"/>
      <c r="J103" s="4"/>
      <c r="K103" s="4"/>
      <c r="L103" s="4"/>
      <c r="M103" s="4"/>
      <c r="N103" s="4"/>
      <c r="O103" s="68"/>
      <c r="P103" s="4"/>
      <c r="Q103" s="4"/>
      <c r="R103" s="4"/>
      <c r="S103" s="54">
        <v>160.33000000000001</v>
      </c>
      <c r="T103" s="44">
        <v>4</v>
      </c>
      <c r="U103" s="54">
        <v>176.67</v>
      </c>
      <c r="V103" s="54">
        <v>135.66999999999999</v>
      </c>
      <c r="W103" s="54">
        <v>10.130000000000001</v>
      </c>
      <c r="X103" s="42">
        <v>14.25</v>
      </c>
      <c r="Y103" s="42">
        <v>17.03</v>
      </c>
      <c r="Z103" s="42">
        <v>6.83</v>
      </c>
      <c r="AA103" s="42">
        <v>5432</v>
      </c>
      <c r="AB103" s="137">
        <v>171.33</v>
      </c>
      <c r="AC103" s="137"/>
      <c r="AD103" s="137"/>
      <c r="AE103" s="137">
        <v>146.66999999999999</v>
      </c>
      <c r="AF103" s="137"/>
      <c r="AG103" s="137"/>
      <c r="AH103" s="42">
        <v>226.67</v>
      </c>
      <c r="AI103" s="54">
        <v>75000</v>
      </c>
      <c r="AJ103" s="137">
        <v>123.5</v>
      </c>
      <c r="AK103" s="137"/>
      <c r="AL103" s="137"/>
      <c r="AM103" s="69"/>
      <c r="AN103" s="69"/>
      <c r="AO103" s="69"/>
      <c r="AP103" s="69"/>
      <c r="AQ103" s="69"/>
      <c r="AR103" s="137">
        <v>216.33</v>
      </c>
      <c r="AS103" s="137"/>
      <c r="AT103" s="137">
        <v>249.33</v>
      </c>
      <c r="AU103" s="137"/>
      <c r="AV103" s="42"/>
      <c r="AW103" s="42"/>
      <c r="AX103" s="42"/>
      <c r="AY103" s="42"/>
      <c r="AZ103" s="42"/>
      <c r="BA103" s="42"/>
      <c r="BB103" s="42"/>
      <c r="BC103" s="54">
        <f>200</f>
        <v>200</v>
      </c>
      <c r="BD103" s="137">
        <v>5500</v>
      </c>
      <c r="BE103" s="137"/>
      <c r="BF103" s="137">
        <v>1661.33</v>
      </c>
      <c r="BG103" s="137"/>
      <c r="BH103" s="137">
        <v>27.67</v>
      </c>
      <c r="BI103" s="137"/>
      <c r="BJ103" s="137"/>
      <c r="BK103" s="42">
        <v>4375</v>
      </c>
      <c r="BL103" s="42">
        <v>1</v>
      </c>
      <c r="BM103" s="137">
        <v>103.34</v>
      </c>
      <c r="BN103" s="137"/>
      <c r="BO103" s="137">
        <v>5162</v>
      </c>
      <c r="BP103" s="139"/>
      <c r="BR103" s="4"/>
      <c r="BS103" s="4" t="s">
        <v>167</v>
      </c>
      <c r="BT103" s="4"/>
    </row>
    <row r="104" spans="1:72" s="4" customFormat="1" x14ac:dyDescent="0.25">
      <c r="A104" s="105" t="s">
        <v>160</v>
      </c>
      <c r="C104" s="27">
        <f>SUM(C92:C100)</f>
        <v>7876</v>
      </c>
      <c r="D104" s="6"/>
      <c r="E104" s="6"/>
      <c r="F104" s="27">
        <f>SUM(F92:F100)</f>
        <v>158205</v>
      </c>
      <c r="G104" s="27">
        <f>SUM(G92:G100)</f>
        <v>17578.333333333332</v>
      </c>
      <c r="H104" s="27">
        <f>SUM(H92:H100)</f>
        <v>1464.8611111111109</v>
      </c>
      <c r="I104" s="6"/>
      <c r="J104" s="27">
        <f>SUM(J92:J100)</f>
        <v>2940</v>
      </c>
      <c r="K104" s="6"/>
      <c r="L104" s="6"/>
      <c r="M104" s="6"/>
      <c r="N104" s="27">
        <f t="shared" ref="N104:AA104" si="86">SUM(N92:N100)</f>
        <v>1630</v>
      </c>
      <c r="O104" s="27">
        <f t="shared" si="86"/>
        <v>181.11111111111109</v>
      </c>
      <c r="P104" s="27">
        <f t="shared" si="86"/>
        <v>0</v>
      </c>
      <c r="Q104" s="27">
        <f t="shared" si="86"/>
        <v>4</v>
      </c>
      <c r="R104" s="27">
        <f t="shared" si="86"/>
        <v>0</v>
      </c>
      <c r="S104" s="54">
        <f t="shared" si="86"/>
        <v>471370.20000000007</v>
      </c>
      <c r="T104" s="54">
        <f t="shared" si="86"/>
        <v>70313.333333333328</v>
      </c>
      <c r="U104" s="54">
        <f t="shared" si="86"/>
        <v>31996.9</v>
      </c>
      <c r="V104" s="54">
        <f t="shared" si="86"/>
        <v>0</v>
      </c>
      <c r="W104" s="54">
        <f t="shared" si="86"/>
        <v>0</v>
      </c>
      <c r="X104" s="42">
        <f t="shared" si="86"/>
        <v>0</v>
      </c>
      <c r="Y104" s="42">
        <f t="shared" si="86"/>
        <v>0</v>
      </c>
      <c r="Z104" s="42">
        <f t="shared" si="86"/>
        <v>0</v>
      </c>
      <c r="AA104" s="42">
        <f t="shared" si="86"/>
        <v>0</v>
      </c>
      <c r="AB104" s="135">
        <f ca="1">AB102 * AB103</f>
        <v>51399.000000000007</v>
      </c>
      <c r="AC104" s="135"/>
      <c r="AD104" s="135"/>
      <c r="AE104" s="135">
        <f ca="1">AE102 * AE103</f>
        <v>58667.999999999993</v>
      </c>
      <c r="AF104" s="135"/>
      <c r="AG104" s="135"/>
      <c r="AH104" s="42">
        <f>AH102 * AH103</f>
        <v>906.68</v>
      </c>
      <c r="AI104" s="42">
        <f>SUM(AI92:AI100)</f>
        <v>0</v>
      </c>
      <c r="AJ104" s="135">
        <f ca="1">AJ102 * AJ103</f>
        <v>49400</v>
      </c>
      <c r="AK104" s="135"/>
      <c r="AL104" s="135"/>
      <c r="AM104" s="42">
        <f t="shared" ref="AM104:BB104" si="87">SUM(AM6:AM95)</f>
        <v>0</v>
      </c>
      <c r="AN104" s="42">
        <f t="shared" si="87"/>
        <v>0</v>
      </c>
      <c r="AO104" s="42">
        <f t="shared" si="87"/>
        <v>0</v>
      </c>
      <c r="AP104" s="42">
        <f t="shared" si="87"/>
        <v>0</v>
      </c>
      <c r="AQ104" s="42">
        <f t="shared" si="87"/>
        <v>0</v>
      </c>
      <c r="AR104" s="137">
        <f>SUM(AS92:AS100)</f>
        <v>0</v>
      </c>
      <c r="AS104" s="137"/>
      <c r="AT104" s="137">
        <f>SUM(AU92:AU100)</f>
        <v>0</v>
      </c>
      <c r="AU104" s="137"/>
      <c r="AV104" s="42">
        <f t="shared" si="87"/>
        <v>0</v>
      </c>
      <c r="AW104" s="42">
        <f t="shared" si="87"/>
        <v>0</v>
      </c>
      <c r="AX104" s="42">
        <f t="shared" si="87"/>
        <v>0</v>
      </c>
      <c r="AY104" s="42">
        <f t="shared" si="87"/>
        <v>0</v>
      </c>
      <c r="AZ104" s="42">
        <f t="shared" si="87"/>
        <v>0</v>
      </c>
      <c r="BA104" s="42">
        <f t="shared" si="87"/>
        <v>0</v>
      </c>
      <c r="BB104" s="42">
        <f t="shared" si="87"/>
        <v>0</v>
      </c>
      <c r="BC104" s="70">
        <f xml:space="preserve"> BC102 * BC103</f>
        <v>0</v>
      </c>
      <c r="BD104" s="135">
        <f>SUM(BE92:BE100)</f>
        <v>0</v>
      </c>
      <c r="BE104" s="135"/>
      <c r="BF104" s="135">
        <f>SUM(BG92:BG100)</f>
        <v>0</v>
      </c>
      <c r="BG104" s="135"/>
      <c r="BH104" s="135">
        <f>SUM(BJ92:BJ100)</f>
        <v>2573.3100000000004</v>
      </c>
      <c r="BI104" s="135"/>
      <c r="BJ104" s="135"/>
      <c r="BK104" s="70">
        <f>BK103 * BK102</f>
        <v>0</v>
      </c>
      <c r="BL104" s="70">
        <f>BL103 * BL102</f>
        <v>10000</v>
      </c>
      <c r="BM104" s="135">
        <f>SUM(BN92:BN100)</f>
        <v>0</v>
      </c>
      <c r="BN104" s="135"/>
      <c r="BO104" s="137">
        <f>SUM(BP92:BP100)</f>
        <v>0</v>
      </c>
      <c r="BP104" s="139"/>
      <c r="BR104" s="42">
        <f ca="1">SUM(S104:V104, Z104:BO104) + MAX(W104:Y104)</f>
        <v>746627.42333333357</v>
      </c>
      <c r="BS104" s="48">
        <v>0.1</v>
      </c>
      <c r="BT104" s="42">
        <f ca="1">BR104 * (1 + BS104)</f>
        <v>821290.16566666705</v>
      </c>
    </row>
    <row r="105" spans="1:72" s="4" customFormat="1" x14ac:dyDescent="0.25">
      <c r="A105" s="105"/>
      <c r="C105" s="27"/>
      <c r="D105" s="6"/>
      <c r="E105" s="6"/>
      <c r="F105" s="27"/>
      <c r="G105" s="27"/>
      <c r="H105" s="27"/>
      <c r="I105" s="6"/>
      <c r="J105" s="27"/>
      <c r="K105" s="6"/>
      <c r="L105" s="6"/>
      <c r="M105" s="6"/>
      <c r="N105" s="27"/>
      <c r="O105" s="27"/>
      <c r="P105" s="27"/>
      <c r="Q105" s="27"/>
      <c r="R105" s="27"/>
      <c r="S105" s="54"/>
      <c r="T105" s="54"/>
      <c r="U105" s="54"/>
      <c r="V105" s="54"/>
      <c r="W105" s="54"/>
      <c r="X105" s="42"/>
      <c r="Y105" s="42"/>
      <c r="Z105" s="42"/>
      <c r="AA105" s="42"/>
      <c r="AB105" s="70"/>
      <c r="AC105" s="70"/>
      <c r="AD105" s="70"/>
      <c r="AE105" s="70"/>
      <c r="AF105" s="70"/>
      <c r="AG105" s="70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54"/>
      <c r="AS105" s="54"/>
      <c r="AT105" s="54"/>
      <c r="AU105" s="54"/>
      <c r="AV105" s="42"/>
      <c r="AW105" s="42"/>
      <c r="AX105" s="42"/>
      <c r="AY105" s="42"/>
      <c r="AZ105" s="42"/>
      <c r="BA105" s="42"/>
      <c r="BB105" s="42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54"/>
      <c r="BP105" s="86"/>
      <c r="BR105" s="42"/>
      <c r="BS105" s="48"/>
      <c r="BT105" s="42"/>
    </row>
    <row r="106" spans="1:72" s="4" customFormat="1" x14ac:dyDescent="0.25">
      <c r="A106" s="105" t="s">
        <v>220</v>
      </c>
      <c r="C106" s="5"/>
      <c r="D106" s="6"/>
      <c r="E106" s="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70">
        <f>S102 * S103</f>
        <v>480990.00000000006</v>
      </c>
      <c r="T106" s="70">
        <f t="shared" ref="T106:BO106" si="88">T102 * T103</f>
        <v>72000</v>
      </c>
      <c r="U106" s="70">
        <f t="shared" si="88"/>
        <v>35334</v>
      </c>
      <c r="V106" s="70">
        <f t="shared" si="88"/>
        <v>0</v>
      </c>
      <c r="W106" s="70">
        <f t="shared" si="88"/>
        <v>0</v>
      </c>
      <c r="X106" s="70">
        <f t="shared" si="88"/>
        <v>0</v>
      </c>
      <c r="Y106" s="70">
        <f t="shared" si="88"/>
        <v>0</v>
      </c>
      <c r="Z106" s="70">
        <f t="shared" si="88"/>
        <v>0</v>
      </c>
      <c r="AA106" s="70">
        <f t="shared" si="88"/>
        <v>0</v>
      </c>
      <c r="AB106" s="135">
        <f t="shared" ca="1" si="88"/>
        <v>51399.000000000007</v>
      </c>
      <c r="AC106" s="135"/>
      <c r="AD106" s="135"/>
      <c r="AE106" s="135">
        <f t="shared" ca="1" si="88"/>
        <v>58667.999999999993</v>
      </c>
      <c r="AF106" s="135"/>
      <c r="AG106" s="135"/>
      <c r="AH106" s="70">
        <f t="shared" si="88"/>
        <v>906.68</v>
      </c>
      <c r="AI106" s="70">
        <f t="shared" si="88"/>
        <v>0</v>
      </c>
      <c r="AJ106" s="135">
        <f t="shared" ca="1" si="88"/>
        <v>49400</v>
      </c>
      <c r="AK106" s="135"/>
      <c r="AL106" s="135"/>
      <c r="AM106" s="70">
        <f t="shared" si="88"/>
        <v>0</v>
      </c>
      <c r="AN106" s="70">
        <f t="shared" si="88"/>
        <v>0</v>
      </c>
      <c r="AO106" s="70">
        <f t="shared" si="88"/>
        <v>0</v>
      </c>
      <c r="AP106" s="70">
        <f t="shared" si="88"/>
        <v>0</v>
      </c>
      <c r="AQ106" s="70">
        <f t="shared" si="88"/>
        <v>0</v>
      </c>
      <c r="AR106" s="135">
        <f t="shared" si="88"/>
        <v>0</v>
      </c>
      <c r="AS106" s="135"/>
      <c r="AT106" s="135">
        <f t="shared" si="88"/>
        <v>0</v>
      </c>
      <c r="AU106" s="135"/>
      <c r="AV106" s="70">
        <f t="shared" si="88"/>
        <v>0</v>
      </c>
      <c r="AW106" s="70">
        <f t="shared" si="88"/>
        <v>0</v>
      </c>
      <c r="AX106" s="70">
        <f t="shared" si="88"/>
        <v>0</v>
      </c>
      <c r="AY106" s="70">
        <f t="shared" si="88"/>
        <v>0</v>
      </c>
      <c r="AZ106" s="70">
        <f t="shared" si="88"/>
        <v>0</v>
      </c>
      <c r="BA106" s="70">
        <f t="shared" si="88"/>
        <v>0</v>
      </c>
      <c r="BB106" s="70">
        <f t="shared" si="88"/>
        <v>0</v>
      </c>
      <c r="BC106" s="70">
        <f t="shared" si="88"/>
        <v>0</v>
      </c>
      <c r="BD106" s="135">
        <f t="shared" si="88"/>
        <v>0</v>
      </c>
      <c r="BE106" s="135"/>
      <c r="BF106" s="135">
        <f t="shared" si="88"/>
        <v>0</v>
      </c>
      <c r="BG106" s="135"/>
      <c r="BH106" s="135">
        <f t="shared" si="88"/>
        <v>2767</v>
      </c>
      <c r="BI106" s="135"/>
      <c r="BJ106" s="135"/>
      <c r="BK106" s="70">
        <f t="shared" si="88"/>
        <v>0</v>
      </c>
      <c r="BL106" s="70">
        <f t="shared" si="88"/>
        <v>10000</v>
      </c>
      <c r="BM106" s="135">
        <f t="shared" si="88"/>
        <v>0</v>
      </c>
      <c r="BN106" s="135"/>
      <c r="BO106" s="135">
        <f t="shared" si="88"/>
        <v>0</v>
      </c>
      <c r="BP106" s="136"/>
      <c r="BR106" s="42">
        <f ca="1">SUM(S106:V106, Z106:BP106) + MAX(W106:Y106)</f>
        <v>761464.68</v>
      </c>
      <c r="BS106" s="48"/>
      <c r="BT106" s="42"/>
    </row>
    <row r="107" spans="1:72" s="4" customFormat="1" ht="15.75" thickBot="1" x14ac:dyDescent="0.3">
      <c r="A107" s="107"/>
      <c r="B107" s="108"/>
      <c r="C107" s="109"/>
      <c r="D107" s="110"/>
      <c r="E107" s="110"/>
      <c r="F107" s="109"/>
      <c r="G107" s="109"/>
      <c r="H107" s="109"/>
      <c r="I107" s="110"/>
      <c r="J107" s="109"/>
      <c r="K107" s="110"/>
      <c r="L107" s="110"/>
      <c r="M107" s="110"/>
      <c r="N107" s="109"/>
      <c r="O107" s="109"/>
      <c r="P107" s="110"/>
      <c r="Q107" s="110"/>
      <c r="R107" s="108"/>
      <c r="S107" s="112"/>
      <c r="T107" s="112"/>
      <c r="U107" s="112"/>
      <c r="V107" s="112"/>
      <c r="W107" s="112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2"/>
      <c r="AJ107" s="112"/>
      <c r="AK107" s="112"/>
      <c r="AL107" s="111"/>
      <c r="AM107" s="111"/>
      <c r="AN107" s="111"/>
      <c r="AO107" s="111"/>
      <c r="AP107" s="111"/>
      <c r="AQ107" s="111"/>
      <c r="AR107" s="113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3"/>
      <c r="BD107" s="111"/>
      <c r="BE107" s="111"/>
      <c r="BF107" s="112"/>
      <c r="BG107" s="111"/>
      <c r="BH107" s="112"/>
      <c r="BI107" s="113"/>
      <c r="BJ107" s="111"/>
      <c r="BK107" s="111"/>
      <c r="BL107" s="111"/>
      <c r="BM107" s="111"/>
      <c r="BN107" s="111"/>
      <c r="BO107" s="113"/>
      <c r="BP107" s="114"/>
    </row>
    <row r="108" spans="1:72" s="19" customFormat="1" ht="15.75" thickTop="1" x14ac:dyDescent="0.25">
      <c r="A108" s="37"/>
      <c r="B108" s="38"/>
      <c r="C108" s="39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1"/>
      <c r="P108" s="40"/>
      <c r="Q108" s="40"/>
      <c r="R108" s="38"/>
      <c r="S108" s="55"/>
      <c r="T108" s="55"/>
      <c r="U108" s="55"/>
      <c r="V108" s="55"/>
      <c r="W108" s="5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55"/>
      <c r="AJ108" s="55"/>
      <c r="AK108" s="55"/>
      <c r="AL108" s="45"/>
      <c r="AM108" s="45"/>
      <c r="AN108" s="45"/>
      <c r="AO108" s="45"/>
      <c r="AP108" s="45"/>
      <c r="AQ108" s="45"/>
      <c r="AR108" s="39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39"/>
      <c r="BD108" s="45"/>
      <c r="BE108" s="45"/>
      <c r="BF108" s="55"/>
      <c r="BG108" s="45"/>
      <c r="BH108" s="55"/>
      <c r="BI108" s="39"/>
      <c r="BJ108" s="45"/>
      <c r="BK108" s="46"/>
      <c r="BL108" s="46"/>
      <c r="BM108" s="46"/>
      <c r="BN108" s="46"/>
      <c r="BO108" s="33"/>
      <c r="BP108" s="46"/>
    </row>
    <row r="109" spans="1:72" x14ac:dyDescent="0.25">
      <c r="A109" s="7"/>
      <c r="B109" s="23"/>
    </row>
    <row r="110" spans="1:72" x14ac:dyDescent="0.25">
      <c r="B110" s="28"/>
      <c r="C110" s="29"/>
      <c r="D110" s="30"/>
    </row>
    <row r="111" spans="1:72" x14ac:dyDescent="0.25">
      <c r="A111" s="8"/>
    </row>
  </sheetData>
  <autoFilter ref="A5:BP104" xr:uid="{D0B553CC-F7D4-4E41-9F39-0162AB9F131B}">
    <filterColumn colId="28" showButton="0"/>
    <filterColumn colId="31" showButton="0"/>
  </autoFilter>
  <mergeCells count="380">
    <mergeCell ref="AE66:AG66"/>
    <mergeCell ref="AE56:AG56"/>
    <mergeCell ref="AE55:AG55"/>
    <mergeCell ref="AE54:AG54"/>
    <mergeCell ref="BO48:BP48"/>
    <mergeCell ref="BO49:BP49"/>
    <mergeCell ref="BO50:BP50"/>
    <mergeCell ref="BO87:BP87"/>
    <mergeCell ref="BO88:BP88"/>
    <mergeCell ref="BO86:BP86"/>
    <mergeCell ref="BM49:BN49"/>
    <mergeCell ref="BM50:BN50"/>
    <mergeCell ref="BM48:BN48"/>
    <mergeCell ref="BM86:BN86"/>
    <mergeCell ref="AE65:AG65"/>
    <mergeCell ref="AE64:AG64"/>
    <mergeCell ref="AE63:AG63"/>
    <mergeCell ref="AE62:AG62"/>
    <mergeCell ref="AE61:AG61"/>
    <mergeCell ref="AE60:AG60"/>
    <mergeCell ref="AE59:AG59"/>
    <mergeCell ref="AE58:AG58"/>
    <mergeCell ref="AE57:AG57"/>
    <mergeCell ref="AR87:AS87"/>
    <mergeCell ref="AE75:AG75"/>
    <mergeCell ref="AE74:AG74"/>
    <mergeCell ref="AE73:AG73"/>
    <mergeCell ref="AE72:AG72"/>
    <mergeCell ref="AE71:AG71"/>
    <mergeCell ref="AE70:AG70"/>
    <mergeCell ref="AE69:AG69"/>
    <mergeCell ref="AE68:AG68"/>
    <mergeCell ref="AE67:AG67"/>
    <mergeCell ref="AE84:AG84"/>
    <mergeCell ref="AE83:AG83"/>
    <mergeCell ref="AE82:AG82"/>
    <mergeCell ref="AE81:AG81"/>
    <mergeCell ref="AE80:AG80"/>
    <mergeCell ref="AE79:AG79"/>
    <mergeCell ref="AE78:AG78"/>
    <mergeCell ref="AE77:AG77"/>
    <mergeCell ref="AE76:AG76"/>
    <mergeCell ref="AB84:AD84"/>
    <mergeCell ref="AB83:AD83"/>
    <mergeCell ref="AB82:AD82"/>
    <mergeCell ref="AB81:AD81"/>
    <mergeCell ref="AB80:AD80"/>
    <mergeCell ref="AB79:AD79"/>
    <mergeCell ref="AB78:AD78"/>
    <mergeCell ref="AB77:AD77"/>
    <mergeCell ref="AB62:AD62"/>
    <mergeCell ref="AB76:AD76"/>
    <mergeCell ref="AB75:AD75"/>
    <mergeCell ref="AB74:AD74"/>
    <mergeCell ref="AB73:AD73"/>
    <mergeCell ref="AB72:AD72"/>
    <mergeCell ref="AB71:AD71"/>
    <mergeCell ref="AB70:AD70"/>
    <mergeCell ref="AB69:AD69"/>
    <mergeCell ref="AB68:AD68"/>
    <mergeCell ref="AB67:AD67"/>
    <mergeCell ref="AB66:AD66"/>
    <mergeCell ref="AB65:AD65"/>
    <mergeCell ref="AB64:AD64"/>
    <mergeCell ref="AB63:AD63"/>
    <mergeCell ref="BF87:BG87"/>
    <mergeCell ref="BH87:BJ87"/>
    <mergeCell ref="AB88:AD88"/>
    <mergeCell ref="AE88:AG88"/>
    <mergeCell ref="AR88:AS88"/>
    <mergeCell ref="AT88:AU88"/>
    <mergeCell ref="BD88:BE88"/>
    <mergeCell ref="BF88:BG88"/>
    <mergeCell ref="BH88:BJ88"/>
    <mergeCell ref="AJ88:AL88"/>
    <mergeCell ref="AJ87:AL87"/>
    <mergeCell ref="AE87:AG87"/>
    <mergeCell ref="AT87:AU87"/>
    <mergeCell ref="A92:A100"/>
    <mergeCell ref="A54:A84"/>
    <mergeCell ref="A6:A46"/>
    <mergeCell ref="S3:BP3"/>
    <mergeCell ref="Q3:R3"/>
    <mergeCell ref="L3:O3"/>
    <mergeCell ref="C3:K3"/>
    <mergeCell ref="AE5:AG5"/>
    <mergeCell ref="AE50:AG50"/>
    <mergeCell ref="AE49:AG49"/>
    <mergeCell ref="AE48:AG48"/>
    <mergeCell ref="AE46:AG46"/>
    <mergeCell ref="AE45:AG45"/>
    <mergeCell ref="AE44:AG44"/>
    <mergeCell ref="AE43:AG43"/>
    <mergeCell ref="AE42:AG42"/>
    <mergeCell ref="AB86:AD86"/>
    <mergeCell ref="AE86:AG86"/>
    <mergeCell ref="AR86:AS86"/>
    <mergeCell ref="AT86:AU86"/>
    <mergeCell ref="BD86:BE86"/>
    <mergeCell ref="BF86:BG86"/>
    <mergeCell ref="BH86:BJ86"/>
    <mergeCell ref="AB87:AD87"/>
    <mergeCell ref="AE36:AG36"/>
    <mergeCell ref="AE35:AG35"/>
    <mergeCell ref="AE34:AG34"/>
    <mergeCell ref="AE33:AG33"/>
    <mergeCell ref="AE32:AG32"/>
    <mergeCell ref="AE41:AG41"/>
    <mergeCell ref="AE40:AG40"/>
    <mergeCell ref="AE39:AG39"/>
    <mergeCell ref="AE38:AG38"/>
    <mergeCell ref="AE37:AG37"/>
    <mergeCell ref="AE26:AG26"/>
    <mergeCell ref="AE25:AG25"/>
    <mergeCell ref="AE24:AG24"/>
    <mergeCell ref="AE23:AG23"/>
    <mergeCell ref="AE22:AG22"/>
    <mergeCell ref="AE31:AG31"/>
    <mergeCell ref="AE30:AG30"/>
    <mergeCell ref="AE29:AG29"/>
    <mergeCell ref="AE28:AG28"/>
    <mergeCell ref="AE27:AG27"/>
    <mergeCell ref="AE16:AG16"/>
    <mergeCell ref="AE15:AG15"/>
    <mergeCell ref="AE14:AG14"/>
    <mergeCell ref="AE13:AG13"/>
    <mergeCell ref="AE12:AG12"/>
    <mergeCell ref="AE21:AG21"/>
    <mergeCell ref="AE20:AG20"/>
    <mergeCell ref="AE19:AG19"/>
    <mergeCell ref="AE18:AG18"/>
    <mergeCell ref="AE17:AG17"/>
    <mergeCell ref="AB34:AD34"/>
    <mergeCell ref="AB33:AD33"/>
    <mergeCell ref="AB32:AD32"/>
    <mergeCell ref="AB31:AD31"/>
    <mergeCell ref="AB30:AD30"/>
    <mergeCell ref="AE6:AG6"/>
    <mergeCell ref="AB50:AD50"/>
    <mergeCell ref="AB49:AD49"/>
    <mergeCell ref="AB48:AD48"/>
    <mergeCell ref="AB46:AD46"/>
    <mergeCell ref="AB45:AD45"/>
    <mergeCell ref="AB44:AD44"/>
    <mergeCell ref="AB43:AD43"/>
    <mergeCell ref="AB42:AD42"/>
    <mergeCell ref="AB41:AD41"/>
    <mergeCell ref="AB40:AD40"/>
    <mergeCell ref="AB39:AD39"/>
    <mergeCell ref="AB38:AD38"/>
    <mergeCell ref="AB37:AD37"/>
    <mergeCell ref="AB36:AD36"/>
    <mergeCell ref="AB35:AD35"/>
    <mergeCell ref="AE11:AG11"/>
    <mergeCell ref="AE10:AG10"/>
    <mergeCell ref="AE9:AG9"/>
    <mergeCell ref="AB24:AD24"/>
    <mergeCell ref="AB23:AD23"/>
    <mergeCell ref="AB22:AD22"/>
    <mergeCell ref="AB21:AD21"/>
    <mergeCell ref="AB20:AD20"/>
    <mergeCell ref="AB29:AD29"/>
    <mergeCell ref="AB28:AD28"/>
    <mergeCell ref="AB27:AD27"/>
    <mergeCell ref="AB26:AD26"/>
    <mergeCell ref="AB25:AD25"/>
    <mergeCell ref="AB14:AD14"/>
    <mergeCell ref="AB13:AD13"/>
    <mergeCell ref="AB12:AD12"/>
    <mergeCell ref="AB11:AD11"/>
    <mergeCell ref="AB10:AD10"/>
    <mergeCell ref="AB19:AD19"/>
    <mergeCell ref="AB18:AD18"/>
    <mergeCell ref="AB17:AD17"/>
    <mergeCell ref="AB16:AD16"/>
    <mergeCell ref="AB15:AD15"/>
    <mergeCell ref="AB9:AD9"/>
    <mergeCell ref="AB8:AD8"/>
    <mergeCell ref="AB7:AD7"/>
    <mergeCell ref="AB6:AD6"/>
    <mergeCell ref="AB5:AD5"/>
    <mergeCell ref="AE8:AG8"/>
    <mergeCell ref="AE7:AG7"/>
    <mergeCell ref="AJ9:AL9"/>
    <mergeCell ref="AJ8:AL8"/>
    <mergeCell ref="AJ7:AL7"/>
    <mergeCell ref="AJ6:AL6"/>
    <mergeCell ref="BO4:BP4"/>
    <mergeCell ref="BH4:BJ4"/>
    <mergeCell ref="BH49:BJ49"/>
    <mergeCell ref="BH50:BJ50"/>
    <mergeCell ref="BH48:BJ48"/>
    <mergeCell ref="BM4:BN4"/>
    <mergeCell ref="AR48:AS48"/>
    <mergeCell ref="BF50:BG50"/>
    <mergeCell ref="BF49:BG49"/>
    <mergeCell ref="BF48:BG48"/>
    <mergeCell ref="BD50:BE50"/>
    <mergeCell ref="BD49:BE49"/>
    <mergeCell ref="BD48:BE48"/>
    <mergeCell ref="AT50:AU50"/>
    <mergeCell ref="AT49:AU49"/>
    <mergeCell ref="AT48:AU48"/>
    <mergeCell ref="AR50:AS50"/>
    <mergeCell ref="AR49:AS49"/>
    <mergeCell ref="AR4:AS4"/>
    <mergeCell ref="AT4:AU4"/>
    <mergeCell ref="BD4:BE4"/>
    <mergeCell ref="BF4:BG4"/>
    <mergeCell ref="AB102:AD102"/>
    <mergeCell ref="AE102:AG102"/>
    <mergeCell ref="AR102:AS102"/>
    <mergeCell ref="AT102:AU102"/>
    <mergeCell ref="BD102:BE102"/>
    <mergeCell ref="BF102:BG102"/>
    <mergeCell ref="BH102:BJ102"/>
    <mergeCell ref="BM102:BN102"/>
    <mergeCell ref="BO102:BP102"/>
    <mergeCell ref="AB103:AD103"/>
    <mergeCell ref="AE103:AG103"/>
    <mergeCell ref="AR103:AS103"/>
    <mergeCell ref="AT103:AU103"/>
    <mergeCell ref="BD103:BE103"/>
    <mergeCell ref="BF103:BG103"/>
    <mergeCell ref="BH103:BJ103"/>
    <mergeCell ref="BO103:BP103"/>
    <mergeCell ref="AB104:AD104"/>
    <mergeCell ref="AR104:AS104"/>
    <mergeCell ref="AT104:AU104"/>
    <mergeCell ref="BD104:BE104"/>
    <mergeCell ref="BF104:BG104"/>
    <mergeCell ref="BH104:BJ104"/>
    <mergeCell ref="AE94:AG94"/>
    <mergeCell ref="AE95:AG95"/>
    <mergeCell ref="AE96:AG96"/>
    <mergeCell ref="AE97:AG97"/>
    <mergeCell ref="AE98:AG98"/>
    <mergeCell ref="AE99:AG99"/>
    <mergeCell ref="AE100:AG100"/>
    <mergeCell ref="AB90:AD90"/>
    <mergeCell ref="AE90:AG90"/>
    <mergeCell ref="AB92:AD92"/>
    <mergeCell ref="AB93:AD93"/>
    <mergeCell ref="AB94:AD94"/>
    <mergeCell ref="AB95:AD95"/>
    <mergeCell ref="AB96:AD96"/>
    <mergeCell ref="AB97:AD97"/>
    <mergeCell ref="AB98:AD98"/>
    <mergeCell ref="AB99:AD99"/>
    <mergeCell ref="AB100:AD100"/>
    <mergeCell ref="BM87:BN87"/>
    <mergeCell ref="BM88:BN88"/>
    <mergeCell ref="BM103:BN103"/>
    <mergeCell ref="BM104:BN104"/>
    <mergeCell ref="BO104:BP104"/>
    <mergeCell ref="AJ5:AL5"/>
    <mergeCell ref="AJ35:AL35"/>
    <mergeCell ref="AJ34:AL34"/>
    <mergeCell ref="AJ33:AL33"/>
    <mergeCell ref="AJ32:AL32"/>
    <mergeCell ref="AJ31:AL31"/>
    <mergeCell ref="AJ30:AL30"/>
    <mergeCell ref="AJ29:AL29"/>
    <mergeCell ref="AJ28:AL28"/>
    <mergeCell ref="AJ27:AL27"/>
    <mergeCell ref="AJ26:AL26"/>
    <mergeCell ref="AJ25:AL25"/>
    <mergeCell ref="AJ24:AL24"/>
    <mergeCell ref="AJ23:AL23"/>
    <mergeCell ref="AJ22:AL22"/>
    <mergeCell ref="AJ21:AL21"/>
    <mergeCell ref="AJ20:AL20"/>
    <mergeCell ref="AJ19:AL19"/>
    <mergeCell ref="BD87:BE87"/>
    <mergeCell ref="AJ18:AL18"/>
    <mergeCell ref="AJ17:AL17"/>
    <mergeCell ref="AJ16:AL16"/>
    <mergeCell ref="AJ15:AL15"/>
    <mergeCell ref="AJ14:AL14"/>
    <mergeCell ref="AJ13:AL13"/>
    <mergeCell ref="AJ12:AL12"/>
    <mergeCell ref="AJ11:AL11"/>
    <mergeCell ref="AJ10:AL10"/>
    <mergeCell ref="AJ37:AL37"/>
    <mergeCell ref="AJ36:AL36"/>
    <mergeCell ref="AJ48:AL48"/>
    <mergeCell ref="AJ50:AL50"/>
    <mergeCell ref="AJ49:AL49"/>
    <mergeCell ref="BH52:BJ52"/>
    <mergeCell ref="BM52:BN52"/>
    <mergeCell ref="BO52:BP52"/>
    <mergeCell ref="BF52:BG52"/>
    <mergeCell ref="BD52:BE52"/>
    <mergeCell ref="AT52:AU52"/>
    <mergeCell ref="AR52:AS52"/>
    <mergeCell ref="AJ52:AL52"/>
    <mergeCell ref="AJ46:AL46"/>
    <mergeCell ref="AJ45:AL45"/>
    <mergeCell ref="AJ44:AL44"/>
    <mergeCell ref="AJ43:AL43"/>
    <mergeCell ref="AJ42:AL42"/>
    <mergeCell ref="AJ41:AL41"/>
    <mergeCell ref="AJ40:AL40"/>
    <mergeCell ref="AJ39:AL39"/>
    <mergeCell ref="AJ38:AL38"/>
    <mergeCell ref="AE52:AG52"/>
    <mergeCell ref="AB52:AD52"/>
    <mergeCell ref="AJ70:AL70"/>
    <mergeCell ref="AJ68:AL68"/>
    <mergeCell ref="AJ66:AL66"/>
    <mergeCell ref="AJ65:AL65"/>
    <mergeCell ref="AJ64:AL64"/>
    <mergeCell ref="AJ63:AL63"/>
    <mergeCell ref="AJ61:AL61"/>
    <mergeCell ref="AJ60:AL60"/>
    <mergeCell ref="AJ59:AL59"/>
    <mergeCell ref="AJ58:AL58"/>
    <mergeCell ref="AJ57:AL57"/>
    <mergeCell ref="AJ56:AL56"/>
    <mergeCell ref="AJ55:AL55"/>
    <mergeCell ref="AJ54:AL54"/>
    <mergeCell ref="AB61:AD61"/>
    <mergeCell ref="AB60:AD60"/>
    <mergeCell ref="AB59:AD59"/>
    <mergeCell ref="AB58:AD58"/>
    <mergeCell ref="AB57:AD57"/>
    <mergeCell ref="AB56:AD56"/>
    <mergeCell ref="AB55:AD55"/>
    <mergeCell ref="AB54:AD54"/>
    <mergeCell ref="AJ84:AL84"/>
    <mergeCell ref="AJ86:AL86"/>
    <mergeCell ref="AJ62:AL62"/>
    <mergeCell ref="AJ67:AL67"/>
    <mergeCell ref="AJ69:AL69"/>
    <mergeCell ref="AJ75:AL75"/>
    <mergeCell ref="AJ76:AL76"/>
    <mergeCell ref="AJ77:AL77"/>
    <mergeCell ref="AJ78:AL78"/>
    <mergeCell ref="AJ71:AL71"/>
    <mergeCell ref="AJ72:AL72"/>
    <mergeCell ref="AJ73:AL73"/>
    <mergeCell ref="AJ74:AL74"/>
    <mergeCell ref="AJ79:AL79"/>
    <mergeCell ref="AJ80:AL80"/>
    <mergeCell ref="AJ81:AL81"/>
    <mergeCell ref="AJ82:AL82"/>
    <mergeCell ref="AJ83:AL83"/>
    <mergeCell ref="BD90:BE90"/>
    <mergeCell ref="BF90:BG90"/>
    <mergeCell ref="BH90:BJ90"/>
    <mergeCell ref="BM90:BN90"/>
    <mergeCell ref="BO90:BP90"/>
    <mergeCell ref="AB106:AD106"/>
    <mergeCell ref="AE106:AG106"/>
    <mergeCell ref="AJ106:AL106"/>
    <mergeCell ref="AR106:AS106"/>
    <mergeCell ref="AT106:AU106"/>
    <mergeCell ref="BD106:BE106"/>
    <mergeCell ref="BF106:BG106"/>
    <mergeCell ref="BH106:BJ106"/>
    <mergeCell ref="BM106:BN106"/>
    <mergeCell ref="BO106:BP106"/>
    <mergeCell ref="AJ104:AL104"/>
    <mergeCell ref="AJ103:AL103"/>
    <mergeCell ref="AJ102:AL102"/>
    <mergeCell ref="AJ100:AL100"/>
    <mergeCell ref="AJ99:AL99"/>
    <mergeCell ref="AJ98:AL98"/>
    <mergeCell ref="AE104:AG104"/>
    <mergeCell ref="AE92:AG92"/>
    <mergeCell ref="AE93:AG93"/>
    <mergeCell ref="AJ97:AL97"/>
    <mergeCell ref="AJ96:AL96"/>
    <mergeCell ref="AJ95:AL95"/>
    <mergeCell ref="AJ94:AL94"/>
    <mergeCell ref="AJ93:AL93"/>
    <mergeCell ref="AJ92:AL92"/>
    <mergeCell ref="AJ90:AL90"/>
    <mergeCell ref="AR90:AS90"/>
    <mergeCell ref="AT90:AU90"/>
  </mergeCells>
  <printOptions gridLines="1"/>
  <pageMargins left="0.2" right="0.2" top="0.5" bottom="0.5" header="0.3" footer="0"/>
  <pageSetup paperSize="3" fitToHeight="0" orientation="landscape" r:id="rId1"/>
  <headerFooter>
    <oddFooter>&amp;L&amp;9&amp;D
&amp;F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1B27C6-175E-471C-9BA8-FA78C54FA772}">
          <x14:formula1>
            <xm:f>Reference!$A$2:$A$3</xm:f>
          </x14:formula1>
          <xm:sqref>K6:K49 K53:K87 K91:K105 K107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8754-86A0-4CF2-81AB-599C9AFF72DE}">
  <dimension ref="A1:U30"/>
  <sheetViews>
    <sheetView topLeftCell="B1" workbookViewId="0">
      <selection activeCell="D10" sqref="D10"/>
    </sheetView>
  </sheetViews>
  <sheetFormatPr defaultRowHeight="15" x14ac:dyDescent="0.25"/>
  <cols>
    <col min="1" max="1" width="58" style="23" customWidth="1"/>
    <col min="2" max="2" width="13.140625" style="182" customWidth="1"/>
    <col min="3" max="3" width="11.140625" style="177" customWidth="1"/>
    <col min="4" max="4" width="13" style="173" customWidth="1"/>
    <col min="5" max="5" width="14.42578125" style="167" customWidth="1"/>
    <col min="6" max="6" width="12" style="2" customWidth="1"/>
    <col min="7" max="7" width="13.42578125" style="183" customWidth="1"/>
    <col min="8" max="8" width="13.140625" customWidth="1"/>
    <col min="9" max="9" width="14.140625" customWidth="1"/>
    <col min="10" max="10" width="10.140625" style="1" customWidth="1"/>
    <col min="11" max="11" width="12.5703125" customWidth="1"/>
    <col min="12" max="12" width="12.28515625" customWidth="1"/>
    <col min="13" max="13" width="12.42578125" customWidth="1"/>
    <col min="14" max="14" width="12.140625" style="1" customWidth="1"/>
    <col min="15" max="15" width="12.42578125" style="1" customWidth="1"/>
    <col min="16" max="16" width="13.7109375" customWidth="1"/>
    <col min="17" max="17" width="13.85546875" customWidth="1"/>
    <col min="18" max="18" width="12.140625" style="2" customWidth="1"/>
    <col min="19" max="19" width="12.28515625" style="1" customWidth="1"/>
    <col min="20" max="20" width="13" style="132" customWidth="1"/>
    <col min="21" max="21" width="14" style="47" customWidth="1"/>
  </cols>
  <sheetData>
    <row r="1" spans="1:21" x14ac:dyDescent="0.25">
      <c r="A1" s="94"/>
      <c r="B1" s="154" t="s">
        <v>208</v>
      </c>
      <c r="C1" s="155"/>
      <c r="D1" s="155"/>
      <c r="E1" s="156"/>
      <c r="F1" s="154" t="s">
        <v>209</v>
      </c>
      <c r="G1" s="155"/>
      <c r="H1" s="155"/>
      <c r="I1" s="156"/>
      <c r="J1" s="154" t="s">
        <v>210</v>
      </c>
      <c r="K1" s="155"/>
      <c r="L1" s="155"/>
      <c r="M1" s="156"/>
      <c r="N1" s="154" t="s">
        <v>217</v>
      </c>
      <c r="O1" s="155"/>
      <c r="P1" s="155"/>
      <c r="Q1" s="156"/>
      <c r="R1" s="154" t="s">
        <v>218</v>
      </c>
      <c r="S1" s="155"/>
      <c r="T1" s="155"/>
      <c r="U1" s="156"/>
    </row>
    <row r="2" spans="1:21" ht="15.75" thickBot="1" x14ac:dyDescent="0.3">
      <c r="A2" s="97" t="s">
        <v>181</v>
      </c>
      <c r="B2" s="178" t="s">
        <v>162</v>
      </c>
      <c r="C2" s="174" t="s">
        <v>182</v>
      </c>
      <c r="D2" s="168" t="s">
        <v>161</v>
      </c>
      <c r="E2" s="163" t="s">
        <v>168</v>
      </c>
      <c r="F2" s="99" t="s">
        <v>162</v>
      </c>
      <c r="G2" s="174" t="s">
        <v>182</v>
      </c>
      <c r="H2" s="92" t="s">
        <v>161</v>
      </c>
      <c r="I2" s="118" t="s">
        <v>168</v>
      </c>
      <c r="J2" s="99" t="s">
        <v>162</v>
      </c>
      <c r="K2" s="91" t="s">
        <v>182</v>
      </c>
      <c r="L2" s="92" t="s">
        <v>161</v>
      </c>
      <c r="M2" s="118" t="s">
        <v>168</v>
      </c>
      <c r="N2" s="99" t="s">
        <v>162</v>
      </c>
      <c r="O2" s="91" t="s">
        <v>182</v>
      </c>
      <c r="P2" s="92" t="s">
        <v>161</v>
      </c>
      <c r="Q2" s="118" t="s">
        <v>168</v>
      </c>
      <c r="R2" s="99" t="s">
        <v>162</v>
      </c>
      <c r="S2" s="91" t="s">
        <v>182</v>
      </c>
      <c r="T2" s="129" t="s">
        <v>161</v>
      </c>
      <c r="U2" s="118" t="s">
        <v>168</v>
      </c>
    </row>
    <row r="3" spans="1:21" x14ac:dyDescent="0.25">
      <c r="A3" s="100" t="s">
        <v>190</v>
      </c>
      <c r="B3" s="179">
        <f>Data!S48</f>
        <v>14000</v>
      </c>
      <c r="C3" s="175" t="s">
        <v>183</v>
      </c>
      <c r="D3" s="169">
        <v>160.33000000000001</v>
      </c>
      <c r="E3" s="164">
        <f>B3 * D3</f>
        <v>2244620</v>
      </c>
      <c r="F3" s="101">
        <f>Data!S86</f>
        <v>10000</v>
      </c>
      <c r="G3" s="175" t="str">
        <f>C3</f>
        <v>TON</v>
      </c>
      <c r="H3" s="103">
        <f>D3</f>
        <v>160.33000000000001</v>
      </c>
      <c r="I3" s="104">
        <f>F3 * H3</f>
        <v>1603300.0000000002</v>
      </c>
      <c r="J3" s="115">
        <f>Data!S102</f>
        <v>3000</v>
      </c>
      <c r="K3" s="102" t="str">
        <f>C3</f>
        <v>TON</v>
      </c>
      <c r="L3" s="103">
        <f>D3</f>
        <v>160.33000000000001</v>
      </c>
      <c r="M3" s="104">
        <f>J3 * L3</f>
        <v>480990.00000000006</v>
      </c>
      <c r="N3" s="125">
        <f>B3 + F3</f>
        <v>24000</v>
      </c>
      <c r="O3" s="87" t="str">
        <f>C3</f>
        <v>TON</v>
      </c>
      <c r="P3" s="119">
        <f>D3</f>
        <v>160.33000000000001</v>
      </c>
      <c r="Q3" s="120">
        <f>N3 * P3</f>
        <v>3847920.0000000005</v>
      </c>
      <c r="R3" s="125">
        <f>B3 + F3 + J3</f>
        <v>27000</v>
      </c>
      <c r="S3" s="87" t="str">
        <f>C3</f>
        <v>TON</v>
      </c>
      <c r="T3" s="130">
        <f>D3</f>
        <v>160.33000000000001</v>
      </c>
      <c r="U3" s="126">
        <f>R3 * T3</f>
        <v>4328910</v>
      </c>
    </row>
    <row r="4" spans="1:21" s="83" customFormat="1" x14ac:dyDescent="0.25">
      <c r="A4" s="96" t="s">
        <v>191</v>
      </c>
      <c r="B4" s="180">
        <f>Data!T48</f>
        <v>54000</v>
      </c>
      <c r="C4" s="176" t="s">
        <v>184</v>
      </c>
      <c r="D4" s="170">
        <v>4</v>
      </c>
      <c r="E4" s="165">
        <f t="shared" ref="E4:E28" si="0">B4 * D4</f>
        <v>216000</v>
      </c>
      <c r="F4" s="98">
        <f>Data!T86</f>
        <v>55000</v>
      </c>
      <c r="G4" s="175" t="str">
        <f t="shared" ref="G4:G28" si="1">C4</f>
        <v>SY</v>
      </c>
      <c r="H4" s="103">
        <f t="shared" ref="H4:H28" si="2">D4</f>
        <v>4</v>
      </c>
      <c r="I4" s="90">
        <f t="shared" ref="I4:I7" si="3">F4 * H4</f>
        <v>220000</v>
      </c>
      <c r="J4" s="98">
        <f>Data!T102</f>
        <v>18000</v>
      </c>
      <c r="K4" s="102" t="str">
        <f t="shared" ref="K4:K28" si="4">C4</f>
        <v>SY</v>
      </c>
      <c r="L4" s="103">
        <f t="shared" ref="L4:L28" si="5">D4</f>
        <v>4</v>
      </c>
      <c r="M4" s="90">
        <f t="shared" ref="M4:M7" si="6">J4 * L4</f>
        <v>72000</v>
      </c>
      <c r="N4" s="98">
        <f t="shared" ref="N4:N28" si="7">B4 + F4</f>
        <v>109000</v>
      </c>
      <c r="O4" s="88" t="str">
        <f t="shared" ref="O4:O28" si="8">C4</f>
        <v>SY</v>
      </c>
      <c r="P4" s="121">
        <f t="shared" ref="P4:P28" si="9">D4</f>
        <v>4</v>
      </c>
      <c r="Q4" s="90">
        <f t="shared" ref="Q4:Q28" si="10">N4 * P4</f>
        <v>436000</v>
      </c>
      <c r="R4" s="98">
        <f t="shared" ref="R4:R28" si="11">B4 + F4 + J4</f>
        <v>127000</v>
      </c>
      <c r="S4" s="127" t="str">
        <f t="shared" ref="S4:S28" si="12">C4</f>
        <v>SY</v>
      </c>
      <c r="T4" s="131">
        <f t="shared" ref="T4:T28" si="13">D4</f>
        <v>4</v>
      </c>
      <c r="U4" s="128">
        <f t="shared" ref="U4:U28" si="14">R4 * T4</f>
        <v>508000</v>
      </c>
    </row>
    <row r="5" spans="1:21" x14ac:dyDescent="0.25">
      <c r="A5" s="95" t="s">
        <v>192</v>
      </c>
      <c r="B5" s="180">
        <f>Data!U48</f>
        <v>500</v>
      </c>
      <c r="C5" s="176" t="s">
        <v>184</v>
      </c>
      <c r="D5" s="171">
        <v>176.67</v>
      </c>
      <c r="E5" s="165">
        <f t="shared" si="0"/>
        <v>88335</v>
      </c>
      <c r="F5" s="98">
        <f>Data!U86</f>
        <v>900</v>
      </c>
      <c r="G5" s="175" t="str">
        <f t="shared" si="1"/>
        <v>SY</v>
      </c>
      <c r="H5" s="103">
        <f t="shared" si="2"/>
        <v>176.67</v>
      </c>
      <c r="I5" s="90">
        <f t="shared" si="3"/>
        <v>159003</v>
      </c>
      <c r="J5" s="98">
        <f>Data!U102</f>
        <v>200</v>
      </c>
      <c r="K5" s="102" t="str">
        <f t="shared" si="4"/>
        <v>SY</v>
      </c>
      <c r="L5" s="103">
        <f t="shared" si="5"/>
        <v>176.67</v>
      </c>
      <c r="M5" s="90">
        <f t="shared" si="6"/>
        <v>35334</v>
      </c>
      <c r="N5" s="98">
        <f t="shared" si="7"/>
        <v>1400</v>
      </c>
      <c r="O5" s="88" t="str">
        <f t="shared" si="8"/>
        <v>SY</v>
      </c>
      <c r="P5" s="121">
        <f t="shared" si="9"/>
        <v>176.67</v>
      </c>
      <c r="Q5" s="90">
        <f t="shared" si="10"/>
        <v>247337.99999999997</v>
      </c>
      <c r="R5" s="98">
        <f t="shared" si="11"/>
        <v>1600</v>
      </c>
      <c r="S5" s="88" t="str">
        <f t="shared" si="12"/>
        <v>SY</v>
      </c>
      <c r="T5" s="131">
        <f t="shared" si="13"/>
        <v>176.67</v>
      </c>
      <c r="U5" s="128">
        <f t="shared" si="14"/>
        <v>282672</v>
      </c>
    </row>
    <row r="6" spans="1:21" x14ac:dyDescent="0.25">
      <c r="A6" s="95" t="s">
        <v>193</v>
      </c>
      <c r="B6" s="180">
        <f>Data!V48</f>
        <v>0</v>
      </c>
      <c r="C6" s="176" t="s">
        <v>185</v>
      </c>
      <c r="D6" s="171">
        <v>135.66999999999999</v>
      </c>
      <c r="E6" s="165">
        <f t="shared" si="0"/>
        <v>0</v>
      </c>
      <c r="F6" s="98">
        <f>Data!V86</f>
        <v>150</v>
      </c>
      <c r="G6" s="175" t="str">
        <f t="shared" si="1"/>
        <v>LF</v>
      </c>
      <c r="H6" s="103">
        <f t="shared" si="2"/>
        <v>135.66999999999999</v>
      </c>
      <c r="I6" s="90">
        <f t="shared" si="3"/>
        <v>20350.499999999996</v>
      </c>
      <c r="J6" s="98">
        <f>Data!V102</f>
        <v>0</v>
      </c>
      <c r="K6" s="102" t="str">
        <f t="shared" si="4"/>
        <v>LF</v>
      </c>
      <c r="L6" s="103">
        <f t="shared" si="5"/>
        <v>135.66999999999999</v>
      </c>
      <c r="M6" s="90">
        <f t="shared" si="6"/>
        <v>0</v>
      </c>
      <c r="N6" s="98">
        <f t="shared" si="7"/>
        <v>150</v>
      </c>
      <c r="O6" s="88" t="str">
        <f t="shared" si="8"/>
        <v>LF</v>
      </c>
      <c r="P6" s="121">
        <f t="shared" si="9"/>
        <v>135.66999999999999</v>
      </c>
      <c r="Q6" s="90">
        <f t="shared" si="10"/>
        <v>20350.499999999996</v>
      </c>
      <c r="R6" s="98">
        <f t="shared" si="11"/>
        <v>150</v>
      </c>
      <c r="S6" s="88" t="str">
        <f t="shared" si="12"/>
        <v>LF</v>
      </c>
      <c r="T6" s="131">
        <f t="shared" si="13"/>
        <v>135.66999999999999</v>
      </c>
      <c r="U6" s="128">
        <f t="shared" si="14"/>
        <v>20350.499999999996</v>
      </c>
    </row>
    <row r="7" spans="1:21" x14ac:dyDescent="0.25">
      <c r="A7" s="95" t="s">
        <v>195</v>
      </c>
      <c r="B7" s="180">
        <f>Data!W48</f>
        <v>29000</v>
      </c>
      <c r="C7" s="176" t="s">
        <v>184</v>
      </c>
      <c r="D7" s="171">
        <v>10.130000000000001</v>
      </c>
      <c r="E7" s="165">
        <f t="shared" si="0"/>
        <v>293770</v>
      </c>
      <c r="F7" s="98">
        <f>Data!W86</f>
        <v>0</v>
      </c>
      <c r="G7" s="175" t="str">
        <f t="shared" si="1"/>
        <v>SY</v>
      </c>
      <c r="H7" s="103">
        <f t="shared" si="2"/>
        <v>10.130000000000001</v>
      </c>
      <c r="I7" s="90">
        <f t="shared" si="3"/>
        <v>0</v>
      </c>
      <c r="J7" s="98">
        <f>Data!W102</f>
        <v>0</v>
      </c>
      <c r="K7" s="102" t="str">
        <f t="shared" si="4"/>
        <v>SY</v>
      </c>
      <c r="L7" s="103">
        <f t="shared" si="5"/>
        <v>10.130000000000001</v>
      </c>
      <c r="M7" s="90">
        <f t="shared" si="6"/>
        <v>0</v>
      </c>
      <c r="N7" s="98">
        <f t="shared" si="7"/>
        <v>29000</v>
      </c>
      <c r="O7" s="88" t="str">
        <f t="shared" si="8"/>
        <v>SY</v>
      </c>
      <c r="P7" s="121">
        <f t="shared" si="9"/>
        <v>10.130000000000001</v>
      </c>
      <c r="Q7" s="90">
        <f t="shared" si="10"/>
        <v>293770</v>
      </c>
      <c r="R7" s="98">
        <f t="shared" si="11"/>
        <v>29000</v>
      </c>
      <c r="S7" s="88" t="str">
        <f t="shared" si="12"/>
        <v>SY</v>
      </c>
      <c r="T7" s="131">
        <f t="shared" si="13"/>
        <v>10.130000000000001</v>
      </c>
      <c r="U7" s="128">
        <f t="shared" si="14"/>
        <v>293770</v>
      </c>
    </row>
    <row r="8" spans="1:21" x14ac:dyDescent="0.25">
      <c r="A8" s="95" t="s">
        <v>194</v>
      </c>
      <c r="B8" s="181"/>
      <c r="C8" s="176"/>
      <c r="D8" s="171"/>
      <c r="E8" s="165"/>
      <c r="F8" s="98"/>
      <c r="G8" s="175"/>
      <c r="H8" s="103"/>
      <c r="I8" s="90"/>
      <c r="J8" s="116"/>
      <c r="K8" s="102"/>
      <c r="L8" s="103"/>
      <c r="M8" s="90"/>
      <c r="N8" s="98"/>
      <c r="O8" s="88"/>
      <c r="P8" s="121"/>
      <c r="Q8" s="90"/>
      <c r="R8" s="98"/>
      <c r="S8" s="88"/>
      <c r="T8" s="131"/>
      <c r="U8" s="128"/>
    </row>
    <row r="9" spans="1:21" x14ac:dyDescent="0.25">
      <c r="A9" s="95" t="s">
        <v>196</v>
      </c>
      <c r="B9" s="180">
        <f>Data!X48</f>
        <v>29000</v>
      </c>
      <c r="C9" s="176" t="s">
        <v>184</v>
      </c>
      <c r="D9" s="171">
        <v>14.25</v>
      </c>
      <c r="E9" s="165">
        <f t="shared" si="0"/>
        <v>413250</v>
      </c>
      <c r="F9" s="98">
        <f>Data!X86</f>
        <v>0</v>
      </c>
      <c r="G9" s="175" t="str">
        <f t="shared" si="1"/>
        <v>SY</v>
      </c>
      <c r="H9" s="103">
        <f t="shared" si="2"/>
        <v>14.25</v>
      </c>
      <c r="I9" s="90">
        <f t="shared" ref="I9" si="15">F9 * H9</f>
        <v>0</v>
      </c>
      <c r="J9" s="98">
        <f>Data!X102</f>
        <v>0</v>
      </c>
      <c r="K9" s="102" t="str">
        <f t="shared" si="4"/>
        <v>SY</v>
      </c>
      <c r="L9" s="103">
        <f t="shared" si="5"/>
        <v>14.25</v>
      </c>
      <c r="M9" s="90">
        <f t="shared" ref="M9" si="16">J9 * L9</f>
        <v>0</v>
      </c>
      <c r="N9" s="98">
        <f t="shared" si="7"/>
        <v>29000</v>
      </c>
      <c r="O9" s="88" t="str">
        <f t="shared" si="8"/>
        <v>SY</v>
      </c>
      <c r="P9" s="121">
        <f t="shared" si="9"/>
        <v>14.25</v>
      </c>
      <c r="Q9" s="90">
        <f t="shared" si="10"/>
        <v>413250</v>
      </c>
      <c r="R9" s="98">
        <f t="shared" si="11"/>
        <v>29000</v>
      </c>
      <c r="S9" s="88" t="str">
        <f t="shared" si="12"/>
        <v>SY</v>
      </c>
      <c r="T9" s="131">
        <f t="shared" si="13"/>
        <v>14.25</v>
      </c>
      <c r="U9" s="128">
        <f t="shared" si="14"/>
        <v>413250</v>
      </c>
    </row>
    <row r="10" spans="1:21" x14ac:dyDescent="0.25">
      <c r="A10" s="95" t="s">
        <v>194</v>
      </c>
      <c r="B10" s="181"/>
      <c r="C10" s="176"/>
      <c r="D10" s="171"/>
      <c r="E10" s="165"/>
      <c r="F10" s="98"/>
      <c r="G10" s="175"/>
      <c r="H10" s="103"/>
      <c r="I10" s="90"/>
      <c r="J10" s="116"/>
      <c r="K10" s="102"/>
      <c r="L10" s="103"/>
      <c r="M10" s="90"/>
      <c r="N10" s="98"/>
      <c r="O10" s="88"/>
      <c r="P10" s="121"/>
      <c r="Q10" s="90"/>
      <c r="R10" s="98"/>
      <c r="S10" s="88"/>
      <c r="T10" s="131"/>
      <c r="U10" s="128"/>
    </row>
    <row r="11" spans="1:21" x14ac:dyDescent="0.25">
      <c r="A11" s="95" t="s">
        <v>197</v>
      </c>
      <c r="B11" s="180">
        <f>Data!Y48</f>
        <v>29000</v>
      </c>
      <c r="C11" s="176" t="s">
        <v>184</v>
      </c>
      <c r="D11" s="171">
        <v>17.03</v>
      </c>
      <c r="E11" s="165">
        <f t="shared" si="0"/>
        <v>493870.00000000006</v>
      </c>
      <c r="F11" s="98">
        <f>Data!Y86</f>
        <v>0</v>
      </c>
      <c r="G11" s="175" t="str">
        <f t="shared" si="1"/>
        <v>SY</v>
      </c>
      <c r="H11" s="103">
        <f t="shared" si="2"/>
        <v>17.03</v>
      </c>
      <c r="I11" s="90">
        <f t="shared" ref="I11" si="17">F11 * H11</f>
        <v>0</v>
      </c>
      <c r="J11" s="98">
        <f>Data!Y102</f>
        <v>0</v>
      </c>
      <c r="K11" s="102" t="str">
        <f t="shared" si="4"/>
        <v>SY</v>
      </c>
      <c r="L11" s="103">
        <f t="shared" si="5"/>
        <v>17.03</v>
      </c>
      <c r="M11" s="90">
        <f t="shared" ref="M11" si="18">J11 * L11</f>
        <v>0</v>
      </c>
      <c r="N11" s="98">
        <f t="shared" si="7"/>
        <v>29000</v>
      </c>
      <c r="O11" s="88" t="str">
        <f t="shared" si="8"/>
        <v>SY</v>
      </c>
      <c r="P11" s="121">
        <f t="shared" si="9"/>
        <v>17.03</v>
      </c>
      <c r="Q11" s="90">
        <f t="shared" si="10"/>
        <v>493870.00000000006</v>
      </c>
      <c r="R11" s="98">
        <f t="shared" si="11"/>
        <v>29000</v>
      </c>
      <c r="S11" s="88" t="str">
        <f t="shared" si="12"/>
        <v>SY</v>
      </c>
      <c r="T11" s="131">
        <f t="shared" si="13"/>
        <v>17.03</v>
      </c>
      <c r="U11" s="128">
        <f t="shared" si="14"/>
        <v>493870.00000000006</v>
      </c>
    </row>
    <row r="12" spans="1:21" x14ac:dyDescent="0.25">
      <c r="A12" s="95" t="s">
        <v>198</v>
      </c>
      <c r="B12" s="180">
        <f>Data!Z48</f>
        <v>29000</v>
      </c>
      <c r="C12" s="176" t="s">
        <v>184</v>
      </c>
      <c r="D12" s="172">
        <v>6.83</v>
      </c>
      <c r="E12" s="165">
        <f>B12 * D12</f>
        <v>198070</v>
      </c>
      <c r="F12" s="98">
        <f>Data!Z86</f>
        <v>0</v>
      </c>
      <c r="G12" s="175" t="str">
        <f t="shared" si="1"/>
        <v>SY</v>
      </c>
      <c r="H12" s="103">
        <f t="shared" si="2"/>
        <v>6.83</v>
      </c>
      <c r="I12" s="90">
        <f>F12 * H12</f>
        <v>0</v>
      </c>
      <c r="J12" s="98">
        <f>Data!Z102</f>
        <v>0</v>
      </c>
      <c r="K12" s="102" t="str">
        <f t="shared" si="4"/>
        <v>SY</v>
      </c>
      <c r="L12" s="103">
        <f t="shared" si="5"/>
        <v>6.83</v>
      </c>
      <c r="M12" s="90">
        <f>J12 * L12</f>
        <v>0</v>
      </c>
      <c r="N12" s="98">
        <f t="shared" si="7"/>
        <v>29000</v>
      </c>
      <c r="O12" s="88" t="str">
        <f t="shared" si="8"/>
        <v>SY</v>
      </c>
      <c r="P12" s="121">
        <f t="shared" si="9"/>
        <v>6.83</v>
      </c>
      <c r="Q12" s="90">
        <f t="shared" si="10"/>
        <v>198070</v>
      </c>
      <c r="R12" s="98">
        <f t="shared" si="11"/>
        <v>29000</v>
      </c>
      <c r="S12" s="88" t="str">
        <f t="shared" si="12"/>
        <v>SY</v>
      </c>
      <c r="T12" s="131">
        <f t="shared" si="13"/>
        <v>6.83</v>
      </c>
      <c r="U12" s="128">
        <f t="shared" si="14"/>
        <v>198070</v>
      </c>
    </row>
    <row r="13" spans="1:21" x14ac:dyDescent="0.25">
      <c r="A13" s="95" t="s">
        <v>199</v>
      </c>
      <c r="B13" s="181">
        <f>Data!AA48</f>
        <v>3</v>
      </c>
      <c r="C13" s="176" t="s">
        <v>186</v>
      </c>
      <c r="D13" s="171">
        <v>5432</v>
      </c>
      <c r="E13" s="165">
        <f t="shared" si="0"/>
        <v>16296</v>
      </c>
      <c r="F13" s="98">
        <f>Data!AA86</f>
        <v>0</v>
      </c>
      <c r="G13" s="175" t="str">
        <f t="shared" si="1"/>
        <v>MI</v>
      </c>
      <c r="H13" s="103">
        <f t="shared" si="2"/>
        <v>5432</v>
      </c>
      <c r="I13" s="90">
        <f t="shared" ref="I13:I28" si="19">F13 * H13</f>
        <v>0</v>
      </c>
      <c r="J13" s="98">
        <f>Data!AA102</f>
        <v>0</v>
      </c>
      <c r="K13" s="102" t="str">
        <f t="shared" si="4"/>
        <v>MI</v>
      </c>
      <c r="L13" s="103">
        <f t="shared" si="5"/>
        <v>5432</v>
      </c>
      <c r="M13" s="90">
        <f t="shared" ref="M13:M28" si="20">J13 * L13</f>
        <v>0</v>
      </c>
      <c r="N13" s="98">
        <f t="shared" si="7"/>
        <v>3</v>
      </c>
      <c r="O13" s="88" t="str">
        <f t="shared" si="8"/>
        <v>MI</v>
      </c>
      <c r="P13" s="121">
        <f t="shared" si="9"/>
        <v>5432</v>
      </c>
      <c r="Q13" s="90">
        <f t="shared" si="10"/>
        <v>16296</v>
      </c>
      <c r="R13" s="98">
        <f t="shared" si="11"/>
        <v>3</v>
      </c>
      <c r="S13" s="88" t="str">
        <f t="shared" si="12"/>
        <v>MI</v>
      </c>
      <c r="T13" s="131">
        <f t="shared" si="13"/>
        <v>5432</v>
      </c>
      <c r="U13" s="128">
        <f t="shared" si="14"/>
        <v>16296</v>
      </c>
    </row>
    <row r="14" spans="1:21" x14ac:dyDescent="0.25">
      <c r="A14" s="95" t="s">
        <v>200</v>
      </c>
      <c r="B14" s="181">
        <f ca="1">Data!AB48</f>
        <v>900</v>
      </c>
      <c r="C14" s="176" t="s">
        <v>187</v>
      </c>
      <c r="D14" s="171">
        <v>171.33</v>
      </c>
      <c r="E14" s="165">
        <f t="shared" ca="1" si="0"/>
        <v>154197</v>
      </c>
      <c r="F14" s="98">
        <f ca="1">Data!AB86</f>
        <v>300</v>
      </c>
      <c r="G14" s="175" t="str">
        <f t="shared" si="1"/>
        <v>CY</v>
      </c>
      <c r="H14" s="103">
        <f t="shared" si="2"/>
        <v>171.33</v>
      </c>
      <c r="I14" s="90">
        <f t="shared" ca="1" si="19"/>
        <v>51399.000000000007</v>
      </c>
      <c r="J14" s="98">
        <f ca="1">Data!AB102</f>
        <v>300</v>
      </c>
      <c r="K14" s="102" t="str">
        <f t="shared" si="4"/>
        <v>CY</v>
      </c>
      <c r="L14" s="103">
        <f t="shared" si="5"/>
        <v>171.33</v>
      </c>
      <c r="M14" s="90">
        <f t="shared" ca="1" si="20"/>
        <v>51399.000000000007</v>
      </c>
      <c r="N14" s="98">
        <f t="shared" ca="1" si="7"/>
        <v>1200</v>
      </c>
      <c r="O14" s="88" t="str">
        <f t="shared" si="8"/>
        <v>CY</v>
      </c>
      <c r="P14" s="121">
        <f t="shared" si="9"/>
        <v>171.33</v>
      </c>
      <c r="Q14" s="90">
        <f t="shared" ca="1" si="10"/>
        <v>205596.00000000003</v>
      </c>
      <c r="R14" s="98">
        <f t="shared" ca="1" si="11"/>
        <v>1500</v>
      </c>
      <c r="S14" s="88" t="str">
        <f t="shared" si="12"/>
        <v>CY</v>
      </c>
      <c r="T14" s="131">
        <f t="shared" si="13"/>
        <v>171.33</v>
      </c>
      <c r="U14" s="128">
        <f t="shared" ca="1" si="14"/>
        <v>256995.00000000003</v>
      </c>
    </row>
    <row r="15" spans="1:21" x14ac:dyDescent="0.25">
      <c r="A15" s="95" t="s">
        <v>201</v>
      </c>
      <c r="B15" s="181">
        <f ca="1">Data!AE48</f>
        <v>1000</v>
      </c>
      <c r="C15" s="176" t="s">
        <v>187</v>
      </c>
      <c r="D15" s="171">
        <v>146.66999999999999</v>
      </c>
      <c r="E15" s="165">
        <f t="shared" ca="1" si="0"/>
        <v>146670</v>
      </c>
      <c r="F15" s="98">
        <f ca="1">Data!AE86</f>
        <v>400</v>
      </c>
      <c r="G15" s="175" t="str">
        <f t="shared" si="1"/>
        <v>CY</v>
      </c>
      <c r="H15" s="103">
        <f t="shared" si="2"/>
        <v>146.66999999999999</v>
      </c>
      <c r="I15" s="90">
        <f t="shared" ca="1" si="19"/>
        <v>58667.999999999993</v>
      </c>
      <c r="J15" s="98">
        <f ca="1">Data!AE102</f>
        <v>400</v>
      </c>
      <c r="K15" s="102" t="str">
        <f t="shared" si="4"/>
        <v>CY</v>
      </c>
      <c r="L15" s="103">
        <f t="shared" si="5"/>
        <v>146.66999999999999</v>
      </c>
      <c r="M15" s="90">
        <f t="shared" ca="1" si="20"/>
        <v>58667.999999999993</v>
      </c>
      <c r="N15" s="98">
        <f t="shared" ca="1" si="7"/>
        <v>1400</v>
      </c>
      <c r="O15" s="88" t="str">
        <f t="shared" si="8"/>
        <v>CY</v>
      </c>
      <c r="P15" s="121">
        <f t="shared" si="9"/>
        <v>146.66999999999999</v>
      </c>
      <c r="Q15" s="90">
        <f t="shared" ca="1" si="10"/>
        <v>205337.99999999997</v>
      </c>
      <c r="R15" s="98">
        <f t="shared" ca="1" si="11"/>
        <v>1800</v>
      </c>
      <c r="S15" s="88" t="str">
        <f t="shared" si="12"/>
        <v>CY</v>
      </c>
      <c r="T15" s="131">
        <f t="shared" si="13"/>
        <v>146.66999999999999</v>
      </c>
      <c r="U15" s="128">
        <f t="shared" ca="1" si="14"/>
        <v>264006</v>
      </c>
    </row>
    <row r="16" spans="1:21" x14ac:dyDescent="0.25">
      <c r="A16" s="95" t="s">
        <v>202</v>
      </c>
      <c r="B16" s="181">
        <f>Data!AH48</f>
        <v>0</v>
      </c>
      <c r="C16" s="176" t="s">
        <v>188</v>
      </c>
      <c r="D16" s="171">
        <v>226.67</v>
      </c>
      <c r="E16" s="165">
        <f t="shared" si="0"/>
        <v>0</v>
      </c>
      <c r="F16" s="98">
        <f>Data!AH86</f>
        <v>0</v>
      </c>
      <c r="G16" s="175" t="str">
        <f t="shared" si="1"/>
        <v>EACH</v>
      </c>
      <c r="H16" s="103">
        <f t="shared" si="2"/>
        <v>226.67</v>
      </c>
      <c r="I16" s="90">
        <f t="shared" si="19"/>
        <v>0</v>
      </c>
      <c r="J16" s="98">
        <f>Data!AH102</f>
        <v>4</v>
      </c>
      <c r="K16" s="102" t="str">
        <f t="shared" si="4"/>
        <v>EACH</v>
      </c>
      <c r="L16" s="103">
        <f t="shared" si="5"/>
        <v>226.67</v>
      </c>
      <c r="M16" s="90">
        <f t="shared" si="20"/>
        <v>906.68</v>
      </c>
      <c r="N16" s="98">
        <f t="shared" si="7"/>
        <v>0</v>
      </c>
      <c r="O16" s="88" t="str">
        <f t="shared" si="8"/>
        <v>EACH</v>
      </c>
      <c r="P16" s="121">
        <f t="shared" si="9"/>
        <v>226.67</v>
      </c>
      <c r="Q16" s="90">
        <f t="shared" si="10"/>
        <v>0</v>
      </c>
      <c r="R16" s="98">
        <f t="shared" si="11"/>
        <v>4</v>
      </c>
      <c r="S16" s="88" t="str">
        <f t="shared" si="12"/>
        <v>EACH</v>
      </c>
      <c r="T16" s="131">
        <f t="shared" si="13"/>
        <v>226.67</v>
      </c>
      <c r="U16" s="128">
        <f t="shared" si="14"/>
        <v>906.68</v>
      </c>
    </row>
    <row r="17" spans="1:21" x14ac:dyDescent="0.25">
      <c r="A17" s="95" t="s">
        <v>204</v>
      </c>
      <c r="B17" s="181">
        <f>Data!AI48</f>
        <v>1</v>
      </c>
      <c r="C17" s="176" t="s">
        <v>203</v>
      </c>
      <c r="D17" s="171">
        <v>75000</v>
      </c>
      <c r="E17" s="165">
        <f t="shared" si="0"/>
        <v>75000</v>
      </c>
      <c r="F17" s="98">
        <f>Data!AI86</f>
        <v>0</v>
      </c>
      <c r="G17" s="175" t="str">
        <f t="shared" si="1"/>
        <v>LUMP SUM</v>
      </c>
      <c r="H17" s="103">
        <f t="shared" si="2"/>
        <v>75000</v>
      </c>
      <c r="I17" s="90">
        <f t="shared" si="19"/>
        <v>0</v>
      </c>
      <c r="J17" s="98">
        <f>Data!AI102</f>
        <v>0</v>
      </c>
      <c r="K17" s="102" t="str">
        <f t="shared" si="4"/>
        <v>LUMP SUM</v>
      </c>
      <c r="L17" s="103">
        <f t="shared" si="5"/>
        <v>75000</v>
      </c>
      <c r="M17" s="90">
        <f t="shared" si="20"/>
        <v>0</v>
      </c>
      <c r="N17" s="98">
        <f t="shared" si="7"/>
        <v>1</v>
      </c>
      <c r="O17" s="88" t="str">
        <f t="shared" si="8"/>
        <v>LUMP SUM</v>
      </c>
      <c r="P17" s="121">
        <f t="shared" si="9"/>
        <v>75000</v>
      </c>
      <c r="Q17" s="90">
        <f t="shared" si="10"/>
        <v>75000</v>
      </c>
      <c r="R17" s="98">
        <f t="shared" si="11"/>
        <v>1</v>
      </c>
      <c r="S17" s="88" t="str">
        <f t="shared" si="12"/>
        <v>LUMP SUM</v>
      </c>
      <c r="T17" s="131">
        <f t="shared" si="13"/>
        <v>75000</v>
      </c>
      <c r="U17" s="128">
        <f t="shared" si="14"/>
        <v>75000</v>
      </c>
    </row>
    <row r="18" spans="1:21" x14ac:dyDescent="0.25">
      <c r="A18" s="95" t="s">
        <v>205</v>
      </c>
      <c r="B18" s="181">
        <f ca="1">Data!AJ48</f>
        <v>1800</v>
      </c>
      <c r="C18" s="176" t="s">
        <v>187</v>
      </c>
      <c r="D18" s="171">
        <v>123.5</v>
      </c>
      <c r="E18" s="165">
        <f t="shared" ca="1" si="0"/>
        <v>222300</v>
      </c>
      <c r="F18" s="98">
        <f ca="1">Data!AJ86</f>
        <v>1000</v>
      </c>
      <c r="G18" s="175" t="str">
        <f t="shared" si="1"/>
        <v>CY</v>
      </c>
      <c r="H18" s="103">
        <f t="shared" si="2"/>
        <v>123.5</v>
      </c>
      <c r="I18" s="90">
        <f t="shared" ca="1" si="19"/>
        <v>123500</v>
      </c>
      <c r="J18" s="98">
        <f ca="1">Data!AJ102</f>
        <v>400</v>
      </c>
      <c r="K18" s="102" t="str">
        <f t="shared" si="4"/>
        <v>CY</v>
      </c>
      <c r="L18" s="103">
        <f t="shared" si="5"/>
        <v>123.5</v>
      </c>
      <c r="M18" s="90">
        <f t="shared" ca="1" si="20"/>
        <v>49400</v>
      </c>
      <c r="N18" s="98">
        <f t="shared" ca="1" si="7"/>
        <v>2800</v>
      </c>
      <c r="O18" s="88" t="str">
        <f t="shared" si="8"/>
        <v>CY</v>
      </c>
      <c r="P18" s="121">
        <f t="shared" si="9"/>
        <v>123.5</v>
      </c>
      <c r="Q18" s="90">
        <f t="shared" ca="1" si="10"/>
        <v>345800</v>
      </c>
      <c r="R18" s="98">
        <f t="shared" ca="1" si="11"/>
        <v>3200</v>
      </c>
      <c r="S18" s="88" t="str">
        <f t="shared" si="12"/>
        <v>CY</v>
      </c>
      <c r="T18" s="131">
        <f t="shared" si="13"/>
        <v>123.5</v>
      </c>
      <c r="U18" s="128">
        <f t="shared" ca="1" si="14"/>
        <v>395200</v>
      </c>
    </row>
    <row r="19" spans="1:21" x14ac:dyDescent="0.25">
      <c r="A19" s="95" t="s">
        <v>131</v>
      </c>
      <c r="B19" s="181">
        <f>Data!AR48</f>
        <v>100</v>
      </c>
      <c r="C19" s="176" t="s">
        <v>185</v>
      </c>
      <c r="D19" s="171">
        <v>216.33</v>
      </c>
      <c r="E19" s="165">
        <f t="shared" si="0"/>
        <v>21633</v>
      </c>
      <c r="F19" s="98">
        <f>Data!AR86</f>
        <v>0</v>
      </c>
      <c r="G19" s="175" t="str">
        <f t="shared" si="1"/>
        <v>LF</v>
      </c>
      <c r="H19" s="103">
        <f t="shared" si="2"/>
        <v>216.33</v>
      </c>
      <c r="I19" s="90">
        <f t="shared" si="19"/>
        <v>0</v>
      </c>
      <c r="J19" s="98">
        <f>Data!AR102</f>
        <v>0</v>
      </c>
      <c r="K19" s="102" t="str">
        <f t="shared" si="4"/>
        <v>LF</v>
      </c>
      <c r="L19" s="103">
        <f t="shared" si="5"/>
        <v>216.33</v>
      </c>
      <c r="M19" s="90">
        <f t="shared" si="20"/>
        <v>0</v>
      </c>
      <c r="N19" s="98">
        <f t="shared" si="7"/>
        <v>100</v>
      </c>
      <c r="O19" s="88" t="str">
        <f t="shared" si="8"/>
        <v>LF</v>
      </c>
      <c r="P19" s="121">
        <f t="shared" si="9"/>
        <v>216.33</v>
      </c>
      <c r="Q19" s="90">
        <f t="shared" si="10"/>
        <v>21633</v>
      </c>
      <c r="R19" s="98">
        <f t="shared" si="11"/>
        <v>100</v>
      </c>
      <c r="S19" s="88" t="str">
        <f t="shared" si="12"/>
        <v>LF</v>
      </c>
      <c r="T19" s="131">
        <f t="shared" si="13"/>
        <v>216.33</v>
      </c>
      <c r="U19" s="128">
        <f t="shared" si="14"/>
        <v>21633</v>
      </c>
    </row>
    <row r="20" spans="1:21" x14ac:dyDescent="0.25">
      <c r="A20" s="95" t="s">
        <v>132</v>
      </c>
      <c r="B20" s="181">
        <f>Data!AT48</f>
        <v>100</v>
      </c>
      <c r="C20" s="176" t="s">
        <v>185</v>
      </c>
      <c r="D20" s="171">
        <v>249.33</v>
      </c>
      <c r="E20" s="165">
        <f t="shared" si="0"/>
        <v>24933</v>
      </c>
      <c r="F20" s="98">
        <f>Data!AT86</f>
        <v>0</v>
      </c>
      <c r="G20" s="175" t="str">
        <f t="shared" si="1"/>
        <v>LF</v>
      </c>
      <c r="H20" s="103">
        <f t="shared" si="2"/>
        <v>249.33</v>
      </c>
      <c r="I20" s="90">
        <f t="shared" si="19"/>
        <v>0</v>
      </c>
      <c r="J20" s="98">
        <f>Data!AT102</f>
        <v>0</v>
      </c>
      <c r="K20" s="102" t="str">
        <f t="shared" si="4"/>
        <v>LF</v>
      </c>
      <c r="L20" s="103">
        <f t="shared" si="5"/>
        <v>249.33</v>
      </c>
      <c r="M20" s="90">
        <f t="shared" si="20"/>
        <v>0</v>
      </c>
      <c r="N20" s="98">
        <f t="shared" si="7"/>
        <v>100</v>
      </c>
      <c r="O20" s="88" t="str">
        <f t="shared" si="8"/>
        <v>LF</v>
      </c>
      <c r="P20" s="121">
        <f t="shared" si="9"/>
        <v>249.33</v>
      </c>
      <c r="Q20" s="90">
        <f t="shared" si="10"/>
        <v>24933</v>
      </c>
      <c r="R20" s="98">
        <f t="shared" si="11"/>
        <v>100</v>
      </c>
      <c r="S20" s="88" t="str">
        <f t="shared" si="12"/>
        <v>LF</v>
      </c>
      <c r="T20" s="131">
        <f t="shared" si="13"/>
        <v>249.33</v>
      </c>
      <c r="U20" s="128">
        <f t="shared" si="14"/>
        <v>24933</v>
      </c>
    </row>
    <row r="21" spans="1:21" x14ac:dyDescent="0.25">
      <c r="A21" s="95" t="s">
        <v>216</v>
      </c>
      <c r="B21" s="181">
        <f>Data!BC48</f>
        <v>100</v>
      </c>
      <c r="C21" s="176" t="s">
        <v>187</v>
      </c>
      <c r="D21" s="171">
        <f>Data!BC49</f>
        <v>200</v>
      </c>
      <c r="E21" s="165">
        <f t="shared" si="0"/>
        <v>20000</v>
      </c>
      <c r="F21" s="98"/>
      <c r="G21" s="175" t="str">
        <f t="shared" si="1"/>
        <v>CY</v>
      </c>
      <c r="H21" s="103">
        <f t="shared" si="2"/>
        <v>200</v>
      </c>
      <c r="I21" s="90"/>
      <c r="J21" s="98">
        <f>Data!BC102</f>
        <v>0</v>
      </c>
      <c r="K21" s="102" t="str">
        <f t="shared" si="4"/>
        <v>CY</v>
      </c>
      <c r="L21" s="103">
        <f t="shared" si="5"/>
        <v>200</v>
      </c>
      <c r="M21" s="90"/>
      <c r="N21" s="98">
        <f t="shared" si="7"/>
        <v>100</v>
      </c>
      <c r="O21" s="88" t="str">
        <f t="shared" si="8"/>
        <v>CY</v>
      </c>
      <c r="P21" s="121">
        <f t="shared" si="9"/>
        <v>200</v>
      </c>
      <c r="Q21" s="90">
        <f t="shared" si="10"/>
        <v>20000</v>
      </c>
      <c r="R21" s="98">
        <f t="shared" si="11"/>
        <v>100</v>
      </c>
      <c r="S21" s="88" t="str">
        <f t="shared" si="12"/>
        <v>CY</v>
      </c>
      <c r="T21" s="131">
        <f t="shared" si="13"/>
        <v>200</v>
      </c>
      <c r="U21" s="128">
        <f t="shared" si="14"/>
        <v>20000</v>
      </c>
    </row>
    <row r="22" spans="1:21" x14ac:dyDescent="0.25">
      <c r="A22" s="95" t="s">
        <v>140</v>
      </c>
      <c r="B22" s="181">
        <f>Data!BD48</f>
        <v>0</v>
      </c>
      <c r="C22" s="176" t="s">
        <v>189</v>
      </c>
      <c r="D22" s="171">
        <v>5500</v>
      </c>
      <c r="E22" s="165">
        <f t="shared" si="0"/>
        <v>0</v>
      </c>
      <c r="F22" s="98">
        <f>Data!BD86</f>
        <v>2</v>
      </c>
      <c r="G22" s="175" t="str">
        <f t="shared" si="1"/>
        <v>MILE</v>
      </c>
      <c r="H22" s="103">
        <f t="shared" si="2"/>
        <v>5500</v>
      </c>
      <c r="I22" s="90">
        <f t="shared" si="19"/>
        <v>11000</v>
      </c>
      <c r="J22" s="98">
        <f>Data!BD102</f>
        <v>0</v>
      </c>
      <c r="K22" s="102" t="str">
        <f t="shared" si="4"/>
        <v>MILE</v>
      </c>
      <c r="L22" s="103">
        <f t="shared" si="5"/>
        <v>5500</v>
      </c>
      <c r="M22" s="90">
        <f t="shared" si="20"/>
        <v>0</v>
      </c>
      <c r="N22" s="98">
        <f t="shared" si="7"/>
        <v>2</v>
      </c>
      <c r="O22" s="88" t="str">
        <f t="shared" si="8"/>
        <v>MILE</v>
      </c>
      <c r="P22" s="121">
        <f t="shared" si="9"/>
        <v>5500</v>
      </c>
      <c r="Q22" s="90">
        <f t="shared" si="10"/>
        <v>11000</v>
      </c>
      <c r="R22" s="98">
        <f t="shared" si="11"/>
        <v>2</v>
      </c>
      <c r="S22" s="88" t="str">
        <f t="shared" si="12"/>
        <v>MILE</v>
      </c>
      <c r="T22" s="131">
        <f t="shared" si="13"/>
        <v>5500</v>
      </c>
      <c r="U22" s="128">
        <f t="shared" si="14"/>
        <v>11000</v>
      </c>
    </row>
    <row r="23" spans="1:21" x14ac:dyDescent="0.25">
      <c r="A23" s="95" t="s">
        <v>142</v>
      </c>
      <c r="B23" s="181">
        <f>Data!BF48</f>
        <v>1</v>
      </c>
      <c r="C23" s="176" t="s">
        <v>189</v>
      </c>
      <c r="D23" s="171">
        <v>1661.33</v>
      </c>
      <c r="E23" s="165">
        <f t="shared" si="0"/>
        <v>1661.33</v>
      </c>
      <c r="F23" s="98">
        <f>Data!BF86</f>
        <v>1</v>
      </c>
      <c r="G23" s="175" t="str">
        <f t="shared" si="1"/>
        <v>MILE</v>
      </c>
      <c r="H23" s="103">
        <f t="shared" si="2"/>
        <v>1661.33</v>
      </c>
      <c r="I23" s="90">
        <f t="shared" si="19"/>
        <v>1661.33</v>
      </c>
      <c r="J23" s="98">
        <f>Data!BF102</f>
        <v>0</v>
      </c>
      <c r="K23" s="102" t="str">
        <f t="shared" si="4"/>
        <v>MILE</v>
      </c>
      <c r="L23" s="103">
        <f t="shared" si="5"/>
        <v>1661.33</v>
      </c>
      <c r="M23" s="90">
        <f t="shared" si="20"/>
        <v>0</v>
      </c>
      <c r="N23" s="98">
        <f t="shared" si="7"/>
        <v>2</v>
      </c>
      <c r="O23" s="88" t="str">
        <f t="shared" si="8"/>
        <v>MILE</v>
      </c>
      <c r="P23" s="121">
        <f t="shared" si="9"/>
        <v>1661.33</v>
      </c>
      <c r="Q23" s="90">
        <f t="shared" si="10"/>
        <v>3322.66</v>
      </c>
      <c r="R23" s="98">
        <f t="shared" si="11"/>
        <v>2</v>
      </c>
      <c r="S23" s="88" t="str">
        <f t="shared" si="12"/>
        <v>MILE</v>
      </c>
      <c r="T23" s="131">
        <f t="shared" si="13"/>
        <v>1661.33</v>
      </c>
      <c r="U23" s="128">
        <f t="shared" si="14"/>
        <v>3322.66</v>
      </c>
    </row>
    <row r="24" spans="1:21" x14ac:dyDescent="0.25">
      <c r="A24" s="95" t="s">
        <v>144</v>
      </c>
      <c r="B24" s="181">
        <f>Data!BH48</f>
        <v>800</v>
      </c>
      <c r="C24" s="176" t="s">
        <v>185</v>
      </c>
      <c r="D24" s="171">
        <v>27.67</v>
      </c>
      <c r="E24" s="165">
        <f t="shared" si="0"/>
        <v>22136</v>
      </c>
      <c r="F24" s="98">
        <f>Data!BH86</f>
        <v>400</v>
      </c>
      <c r="G24" s="175" t="str">
        <f t="shared" si="1"/>
        <v>LF</v>
      </c>
      <c r="H24" s="103">
        <f t="shared" si="2"/>
        <v>27.67</v>
      </c>
      <c r="I24" s="90">
        <f t="shared" si="19"/>
        <v>11068</v>
      </c>
      <c r="J24" s="98">
        <f>Data!BH102</f>
        <v>100</v>
      </c>
      <c r="K24" s="102" t="str">
        <f t="shared" si="4"/>
        <v>LF</v>
      </c>
      <c r="L24" s="103">
        <f t="shared" si="5"/>
        <v>27.67</v>
      </c>
      <c r="M24" s="90">
        <f t="shared" si="20"/>
        <v>2767</v>
      </c>
      <c r="N24" s="98">
        <f t="shared" si="7"/>
        <v>1200</v>
      </c>
      <c r="O24" s="88" t="str">
        <f t="shared" si="8"/>
        <v>LF</v>
      </c>
      <c r="P24" s="121">
        <f t="shared" si="9"/>
        <v>27.67</v>
      </c>
      <c r="Q24" s="90">
        <f t="shared" si="10"/>
        <v>33204</v>
      </c>
      <c r="R24" s="98">
        <f t="shared" si="11"/>
        <v>1300</v>
      </c>
      <c r="S24" s="88" t="str">
        <f t="shared" si="12"/>
        <v>LF</v>
      </c>
      <c r="T24" s="131">
        <f t="shared" si="13"/>
        <v>27.67</v>
      </c>
      <c r="U24" s="128">
        <f t="shared" si="14"/>
        <v>35971</v>
      </c>
    </row>
    <row r="25" spans="1:21" x14ac:dyDescent="0.25">
      <c r="A25" s="95" t="s">
        <v>206</v>
      </c>
      <c r="B25" s="181">
        <f>Data!BK48</f>
        <v>1</v>
      </c>
      <c r="C25" s="176" t="s">
        <v>188</v>
      </c>
      <c r="D25" s="171">
        <v>100000</v>
      </c>
      <c r="E25" s="165">
        <f t="shared" si="0"/>
        <v>100000</v>
      </c>
      <c r="F25" s="98"/>
      <c r="G25" s="175" t="str">
        <f t="shared" si="1"/>
        <v>EACH</v>
      </c>
      <c r="H25" s="103">
        <f t="shared" si="2"/>
        <v>100000</v>
      </c>
      <c r="I25" s="90">
        <f t="shared" si="19"/>
        <v>0</v>
      </c>
      <c r="J25" s="98">
        <f>Data!BK102</f>
        <v>0</v>
      </c>
      <c r="K25" s="102" t="str">
        <f t="shared" si="4"/>
        <v>EACH</v>
      </c>
      <c r="L25" s="103">
        <f t="shared" si="5"/>
        <v>100000</v>
      </c>
      <c r="M25" s="90">
        <f t="shared" si="20"/>
        <v>0</v>
      </c>
      <c r="N25" s="98">
        <f t="shared" si="7"/>
        <v>1</v>
      </c>
      <c r="O25" s="88" t="str">
        <f t="shared" si="8"/>
        <v>EACH</v>
      </c>
      <c r="P25" s="121">
        <f t="shared" si="9"/>
        <v>100000</v>
      </c>
      <c r="Q25" s="90">
        <f t="shared" si="10"/>
        <v>100000</v>
      </c>
      <c r="R25" s="98">
        <f t="shared" si="11"/>
        <v>1</v>
      </c>
      <c r="S25" s="88" t="str">
        <f t="shared" si="12"/>
        <v>EACH</v>
      </c>
      <c r="T25" s="131">
        <f t="shared" si="13"/>
        <v>100000</v>
      </c>
      <c r="U25" s="128">
        <f t="shared" si="14"/>
        <v>100000</v>
      </c>
    </row>
    <row r="26" spans="1:21" x14ac:dyDescent="0.25">
      <c r="A26" s="95" t="s">
        <v>147</v>
      </c>
      <c r="B26" s="181">
        <f>Data!BL48</f>
        <v>10000</v>
      </c>
      <c r="C26" s="176" t="s">
        <v>185</v>
      </c>
      <c r="D26" s="171">
        <v>1</v>
      </c>
      <c r="E26" s="165">
        <f t="shared" si="0"/>
        <v>10000</v>
      </c>
      <c r="F26" s="98">
        <f>Data!BL86</f>
        <v>10000</v>
      </c>
      <c r="G26" s="175" t="str">
        <f t="shared" si="1"/>
        <v>LF</v>
      </c>
      <c r="H26" s="103">
        <f t="shared" si="2"/>
        <v>1</v>
      </c>
      <c r="I26" s="90">
        <f t="shared" si="19"/>
        <v>10000</v>
      </c>
      <c r="J26" s="98">
        <f>Data!BL102</f>
        <v>10000</v>
      </c>
      <c r="K26" s="102" t="str">
        <f t="shared" si="4"/>
        <v>LF</v>
      </c>
      <c r="L26" s="103">
        <f t="shared" si="5"/>
        <v>1</v>
      </c>
      <c r="M26" s="90">
        <f t="shared" si="20"/>
        <v>10000</v>
      </c>
      <c r="N26" s="98">
        <f t="shared" si="7"/>
        <v>20000</v>
      </c>
      <c r="O26" s="88" t="str">
        <f t="shared" si="8"/>
        <v>LF</v>
      </c>
      <c r="P26" s="121">
        <f t="shared" si="9"/>
        <v>1</v>
      </c>
      <c r="Q26" s="90">
        <f t="shared" si="10"/>
        <v>20000</v>
      </c>
      <c r="R26" s="98">
        <f t="shared" si="11"/>
        <v>30000</v>
      </c>
      <c r="S26" s="88" t="str">
        <f t="shared" si="12"/>
        <v>LF</v>
      </c>
      <c r="T26" s="131">
        <f t="shared" si="13"/>
        <v>1</v>
      </c>
      <c r="U26" s="128">
        <f t="shared" si="14"/>
        <v>30000</v>
      </c>
    </row>
    <row r="27" spans="1:21" x14ac:dyDescent="0.25">
      <c r="A27" s="95" t="s">
        <v>207</v>
      </c>
      <c r="B27" s="181">
        <f>Data!BM48</f>
        <v>1200</v>
      </c>
      <c r="C27" s="176" t="s">
        <v>184</v>
      </c>
      <c r="D27" s="171">
        <v>103.34</v>
      </c>
      <c r="E27" s="165">
        <f t="shared" si="0"/>
        <v>124008</v>
      </c>
      <c r="F27" s="98">
        <f>Data!BM86</f>
        <v>0</v>
      </c>
      <c r="G27" s="175" t="str">
        <f t="shared" si="1"/>
        <v>SY</v>
      </c>
      <c r="H27" s="103">
        <f t="shared" si="2"/>
        <v>103.34</v>
      </c>
      <c r="I27" s="90">
        <f t="shared" si="19"/>
        <v>0</v>
      </c>
      <c r="J27" s="98">
        <f>Data!BM102</f>
        <v>0</v>
      </c>
      <c r="K27" s="102" t="str">
        <f t="shared" si="4"/>
        <v>SY</v>
      </c>
      <c r="L27" s="103">
        <f t="shared" si="5"/>
        <v>103.34</v>
      </c>
      <c r="M27" s="90">
        <f t="shared" si="20"/>
        <v>0</v>
      </c>
      <c r="N27" s="98">
        <f t="shared" si="7"/>
        <v>1200</v>
      </c>
      <c r="O27" s="88" t="str">
        <f t="shared" si="8"/>
        <v>SY</v>
      </c>
      <c r="P27" s="121">
        <f t="shared" si="9"/>
        <v>103.34</v>
      </c>
      <c r="Q27" s="90">
        <f t="shared" si="10"/>
        <v>124008</v>
      </c>
      <c r="R27" s="98">
        <f t="shared" si="11"/>
        <v>1200</v>
      </c>
      <c r="S27" s="88" t="str">
        <f t="shared" si="12"/>
        <v>SY</v>
      </c>
      <c r="T27" s="131">
        <f t="shared" si="13"/>
        <v>103.34</v>
      </c>
      <c r="U27" s="128">
        <f t="shared" si="14"/>
        <v>124008</v>
      </c>
    </row>
    <row r="28" spans="1:21" x14ac:dyDescent="0.25">
      <c r="A28" s="95" t="s">
        <v>152</v>
      </c>
      <c r="B28" s="181">
        <f>Data!BO48</f>
        <v>1</v>
      </c>
      <c r="C28" s="176" t="s">
        <v>188</v>
      </c>
      <c r="D28" s="171">
        <v>5162</v>
      </c>
      <c r="E28" s="165">
        <f t="shared" si="0"/>
        <v>5162</v>
      </c>
      <c r="F28" s="98">
        <f>Data!BO86</f>
        <v>0</v>
      </c>
      <c r="G28" s="175" t="str">
        <f t="shared" si="1"/>
        <v>EACH</v>
      </c>
      <c r="H28" s="103">
        <f t="shared" si="2"/>
        <v>5162</v>
      </c>
      <c r="I28" s="90">
        <f t="shared" si="19"/>
        <v>0</v>
      </c>
      <c r="J28" s="98">
        <f>Data!BO102</f>
        <v>0</v>
      </c>
      <c r="K28" s="102" t="str">
        <f t="shared" si="4"/>
        <v>EACH</v>
      </c>
      <c r="L28" s="103">
        <f t="shared" si="5"/>
        <v>5162</v>
      </c>
      <c r="M28" s="90">
        <f t="shared" si="20"/>
        <v>0</v>
      </c>
      <c r="N28" s="98">
        <f t="shared" si="7"/>
        <v>1</v>
      </c>
      <c r="O28" s="88" t="str">
        <f t="shared" si="8"/>
        <v>EACH</v>
      </c>
      <c r="P28" s="121">
        <f t="shared" si="9"/>
        <v>5162</v>
      </c>
      <c r="Q28" s="90">
        <f t="shared" si="10"/>
        <v>5162</v>
      </c>
      <c r="R28" s="98">
        <f t="shared" si="11"/>
        <v>1</v>
      </c>
      <c r="S28" s="88" t="str">
        <f t="shared" si="12"/>
        <v>EACH</v>
      </c>
      <c r="T28" s="131">
        <f t="shared" si="13"/>
        <v>5162</v>
      </c>
      <c r="U28" s="128">
        <f t="shared" si="14"/>
        <v>5162</v>
      </c>
    </row>
    <row r="29" spans="1:21" x14ac:dyDescent="0.25">
      <c r="A29" s="95"/>
      <c r="B29" s="181"/>
      <c r="C29" s="176"/>
      <c r="D29" s="171"/>
      <c r="E29" s="165"/>
      <c r="F29" s="98"/>
      <c r="G29" s="176"/>
      <c r="H29" s="89"/>
      <c r="I29" s="90"/>
      <c r="J29" s="116"/>
      <c r="K29" s="88"/>
      <c r="L29" s="89"/>
      <c r="M29" s="90"/>
      <c r="N29" s="116"/>
      <c r="O29" s="88"/>
      <c r="P29" s="122"/>
      <c r="Q29" s="123"/>
      <c r="R29" s="98"/>
      <c r="S29" s="88"/>
      <c r="T29" s="131"/>
      <c r="U29" s="128"/>
    </row>
    <row r="30" spans="1:21" ht="15.75" thickBot="1" x14ac:dyDescent="0.3">
      <c r="A30" s="97"/>
      <c r="B30" s="178"/>
      <c r="C30" s="174"/>
      <c r="D30" s="168"/>
      <c r="E30" s="166">
        <f ca="1">SUM(E12:E28) + SUM(E3:E6) + MAX(E7:E11)</f>
        <v>4184891.33</v>
      </c>
      <c r="F30" s="99"/>
      <c r="G30" s="174"/>
      <c r="H30" s="92"/>
      <c r="I30" s="93">
        <f ca="1">SUM(I12:I28) + SUM(I3:I6) + MAX(I7:I11)</f>
        <v>2269949.83</v>
      </c>
      <c r="J30" s="117"/>
      <c r="K30" s="91"/>
      <c r="L30" s="92"/>
      <c r="M30" s="93">
        <f ca="1">SUM(M12:M28) + SUM(M3:M6) + MAX(M7:M11)</f>
        <v>761464.67999999993</v>
      </c>
      <c r="N30" s="117"/>
      <c r="O30" s="91"/>
      <c r="P30" s="124"/>
      <c r="Q30" s="93">
        <f ca="1">SUM(Q12:Q28) + SUM(Q3:Q6) + MAX(Q7:Q11)</f>
        <v>6454841.1600000001</v>
      </c>
      <c r="R30" s="99"/>
      <c r="S30" s="91"/>
      <c r="T30" s="129"/>
      <c r="U30" s="93">
        <f ca="1">SUM(U12:U28) + SUM(U3:U6) + MAX(U7:U11)</f>
        <v>7216305.8399999999</v>
      </c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67960-4579-4A34-A46D-1B9CF44CE9BA}">
  <sheetPr codeName="Sheet4">
    <tabColor rgb="FF00B050"/>
    <pageSetUpPr fitToPage="1"/>
  </sheetPr>
  <dimension ref="A1:F1"/>
  <sheetViews>
    <sheetView zoomScaleNormal="100" workbookViewId="0">
      <selection activeCell="S23" sqref="S23"/>
    </sheetView>
  </sheetViews>
  <sheetFormatPr defaultRowHeight="15" x14ac:dyDescent="0.25"/>
  <sheetData>
    <row r="1" spans="1:6" x14ac:dyDescent="0.25">
      <c r="A1" s="22" t="s">
        <v>154</v>
      </c>
      <c r="B1" s="25"/>
      <c r="C1" s="25"/>
      <c r="D1" s="25"/>
      <c r="E1" s="25"/>
      <c r="F1" s="25"/>
    </row>
  </sheetData>
  <pageMargins left="0.2" right="0.2" top="0.5" bottom="0.5" header="0.3" footer="0"/>
  <pageSetup scale="92" orientation="landscape" r:id="rId1"/>
  <headerFooter>
    <oddFooter>&amp;L&amp;9&amp;D
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AC0FD-6557-4B1F-86E8-D637F6AC5B32}">
  <sheetPr codeName="Sheet3"/>
  <dimension ref="A1:B47"/>
  <sheetViews>
    <sheetView zoomScaleNormal="100" workbookViewId="0">
      <selection activeCell="A6" sqref="A6:B14"/>
    </sheetView>
  </sheetViews>
  <sheetFormatPr defaultRowHeight="15" x14ac:dyDescent="0.25"/>
  <cols>
    <col min="1" max="1" width="66.42578125" customWidth="1"/>
    <col min="2" max="2" width="10.140625" bestFit="1" customWidth="1"/>
  </cols>
  <sheetData>
    <row r="1" spans="1:2" x14ac:dyDescent="0.25">
      <c r="A1" s="22" t="s">
        <v>1</v>
      </c>
    </row>
    <row r="2" spans="1:2" x14ac:dyDescent="0.25">
      <c r="A2" t="s">
        <v>60</v>
      </c>
    </row>
    <row r="3" spans="1:2" x14ac:dyDescent="0.25">
      <c r="A3" t="s">
        <v>61</v>
      </c>
    </row>
    <row r="6" spans="1:2" x14ac:dyDescent="0.25">
      <c r="A6" s="22" t="s">
        <v>106</v>
      </c>
      <c r="B6" s="25"/>
    </row>
    <row r="7" spans="1:2" x14ac:dyDescent="0.25">
      <c r="A7" t="s">
        <v>99</v>
      </c>
      <c r="B7" s="26">
        <v>160.33000000000001</v>
      </c>
    </row>
    <row r="8" spans="1:2" x14ac:dyDescent="0.25">
      <c r="A8" t="s">
        <v>117</v>
      </c>
      <c r="B8" s="26">
        <v>4</v>
      </c>
    </row>
    <row r="9" spans="1:2" x14ac:dyDescent="0.25">
      <c r="A9" t="s">
        <v>100</v>
      </c>
      <c r="B9" s="26">
        <v>176.67</v>
      </c>
    </row>
    <row r="10" spans="1:2" x14ac:dyDescent="0.25">
      <c r="A10" t="s">
        <v>101</v>
      </c>
      <c r="B10" s="26">
        <v>135.66999999999999</v>
      </c>
    </row>
    <row r="11" spans="1:2" x14ac:dyDescent="0.25">
      <c r="A11" s="23" t="s">
        <v>102</v>
      </c>
      <c r="B11" s="26">
        <v>10.130000000000001</v>
      </c>
    </row>
    <row r="12" spans="1:2" x14ac:dyDescent="0.25">
      <c r="A12" s="23" t="s">
        <v>103</v>
      </c>
      <c r="B12" s="26">
        <v>14.25</v>
      </c>
    </row>
    <row r="13" spans="1:2" x14ac:dyDescent="0.25">
      <c r="A13" s="23" t="s">
        <v>104</v>
      </c>
      <c r="B13" s="26">
        <v>17.03</v>
      </c>
    </row>
    <row r="14" spans="1:2" x14ac:dyDescent="0.25">
      <c r="A14" s="23" t="s">
        <v>105</v>
      </c>
      <c r="B14" s="26">
        <v>6.83</v>
      </c>
    </row>
    <row r="15" spans="1:2" x14ac:dyDescent="0.25">
      <c r="A15" s="24" t="s">
        <v>118</v>
      </c>
      <c r="B15" s="26">
        <v>5432</v>
      </c>
    </row>
    <row r="16" spans="1:2" x14ac:dyDescent="0.25">
      <c r="A16" s="24" t="s">
        <v>109</v>
      </c>
      <c r="B16" s="26">
        <v>171.33</v>
      </c>
    </row>
    <row r="17" spans="1:2" x14ac:dyDescent="0.25">
      <c r="A17" s="24" t="s">
        <v>110</v>
      </c>
      <c r="B17" s="26">
        <v>146.66999999999999</v>
      </c>
    </row>
    <row r="18" spans="1:2" x14ac:dyDescent="0.25">
      <c r="A18" s="24" t="s">
        <v>116</v>
      </c>
      <c r="B18" s="26">
        <v>4375</v>
      </c>
    </row>
    <row r="19" spans="1:2" x14ac:dyDescent="0.25">
      <c r="A19" s="24" t="s">
        <v>112</v>
      </c>
      <c r="B19" s="26">
        <v>226.67</v>
      </c>
    </row>
    <row r="20" spans="1:2" x14ac:dyDescent="0.25">
      <c r="A20" s="24" t="s">
        <v>124</v>
      </c>
      <c r="B20" s="26">
        <v>6833</v>
      </c>
    </row>
    <row r="21" spans="1:2" x14ac:dyDescent="0.25">
      <c r="A21" s="24" t="s">
        <v>125</v>
      </c>
      <c r="B21" s="26">
        <v>123.5</v>
      </c>
    </row>
    <row r="22" spans="1:2" x14ac:dyDescent="0.25">
      <c r="A22" s="24" t="s">
        <v>126</v>
      </c>
      <c r="B22" s="26">
        <v>214</v>
      </c>
    </row>
    <row r="23" spans="1:2" x14ac:dyDescent="0.25">
      <c r="A23" s="24" t="s">
        <v>127</v>
      </c>
      <c r="B23" s="26">
        <v>230.67</v>
      </c>
    </row>
    <row r="24" spans="1:2" x14ac:dyDescent="0.25">
      <c r="A24" s="24" t="s">
        <v>128</v>
      </c>
      <c r="B24" s="26">
        <v>298.33</v>
      </c>
    </row>
    <row r="25" spans="1:2" x14ac:dyDescent="0.25">
      <c r="A25" s="24" t="s">
        <v>129</v>
      </c>
      <c r="B25" s="26">
        <v>343.67</v>
      </c>
    </row>
    <row r="26" spans="1:2" x14ac:dyDescent="0.25">
      <c r="A26" s="24" t="s">
        <v>130</v>
      </c>
      <c r="B26" s="26">
        <v>444.67</v>
      </c>
    </row>
    <row r="27" spans="1:2" x14ac:dyDescent="0.25">
      <c r="A27" s="24" t="s">
        <v>131</v>
      </c>
      <c r="B27" s="26">
        <v>216.33</v>
      </c>
    </row>
    <row r="28" spans="1:2" x14ac:dyDescent="0.25">
      <c r="A28" s="24" t="s">
        <v>132</v>
      </c>
      <c r="B28" s="26">
        <v>249.33</v>
      </c>
    </row>
    <row r="29" spans="1:2" x14ac:dyDescent="0.25">
      <c r="A29" s="24" t="s">
        <v>133</v>
      </c>
      <c r="B29" s="26">
        <v>310.33</v>
      </c>
    </row>
    <row r="30" spans="1:2" x14ac:dyDescent="0.25">
      <c r="A30" s="24" t="s">
        <v>134</v>
      </c>
      <c r="B30" s="26">
        <v>351.33</v>
      </c>
    </row>
    <row r="31" spans="1:2" x14ac:dyDescent="0.25">
      <c r="A31" s="24" t="s">
        <v>135</v>
      </c>
      <c r="B31" s="26">
        <v>420.33</v>
      </c>
    </row>
    <row r="32" spans="1:2" x14ac:dyDescent="0.25">
      <c r="A32" s="36" t="s">
        <v>136</v>
      </c>
      <c r="B32" s="26">
        <v>223.67</v>
      </c>
    </row>
    <row r="33" spans="1:2" x14ac:dyDescent="0.25">
      <c r="A33" s="36" t="s">
        <v>137</v>
      </c>
      <c r="B33" s="26">
        <v>255</v>
      </c>
    </row>
    <row r="34" spans="1:2" x14ac:dyDescent="0.25">
      <c r="A34" s="36" t="s">
        <v>138</v>
      </c>
      <c r="B34" s="26">
        <v>325.67</v>
      </c>
    </row>
    <row r="35" spans="1:2" x14ac:dyDescent="0.25">
      <c r="A35" s="36" t="s">
        <v>139</v>
      </c>
      <c r="B35" s="26">
        <v>436.33</v>
      </c>
    </row>
    <row r="36" spans="1:2" x14ac:dyDescent="0.25">
      <c r="A36" s="36" t="s">
        <v>141</v>
      </c>
      <c r="B36" s="26">
        <v>5500</v>
      </c>
    </row>
    <row r="37" spans="1:2" x14ac:dyDescent="0.25">
      <c r="A37" s="36" t="s">
        <v>143</v>
      </c>
      <c r="B37" s="26">
        <v>1661.33</v>
      </c>
    </row>
    <row r="38" spans="1:2" x14ac:dyDescent="0.25">
      <c r="A38" s="36" t="s">
        <v>144</v>
      </c>
      <c r="B38" s="26">
        <v>27.67</v>
      </c>
    </row>
    <row r="39" spans="1:2" x14ac:dyDescent="0.25">
      <c r="A39" s="36" t="s">
        <v>147</v>
      </c>
      <c r="B39" s="26">
        <v>10000</v>
      </c>
    </row>
    <row r="40" spans="1:2" x14ac:dyDescent="0.25">
      <c r="A40" s="36" t="s">
        <v>146</v>
      </c>
      <c r="B40" s="26">
        <v>17000</v>
      </c>
    </row>
    <row r="41" spans="1:2" x14ac:dyDescent="0.25">
      <c r="A41" s="36" t="s">
        <v>152</v>
      </c>
      <c r="B41" s="26">
        <v>5162</v>
      </c>
    </row>
    <row r="46" spans="1:2" x14ac:dyDescent="0.25">
      <c r="A46" t="s">
        <v>121</v>
      </c>
    </row>
    <row r="47" spans="1:2" x14ac:dyDescent="0.25">
      <c r="A47" t="s">
        <v>120</v>
      </c>
    </row>
  </sheetData>
  <printOptions gridLines="1"/>
  <pageMargins left="0.2" right="0.2" top="0.5" bottom="0.5" header="0.3" footer="0.3"/>
  <pageSetup orientation="portrait" r:id="rId1"/>
  <headerFooter>
    <oddFooter>&amp;L&amp;9&amp;D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DD73D-12F1-47D2-BE24-2289EEF408CC}">
  <sheetPr>
    <tabColor rgb="FF0070C0"/>
  </sheetPr>
  <dimension ref="A1:BD82"/>
  <sheetViews>
    <sheetView zoomScaleNormal="100" workbookViewId="0">
      <selection activeCell="BE80" sqref="BE1:BI80"/>
    </sheetView>
  </sheetViews>
  <sheetFormatPr defaultRowHeight="15" x14ac:dyDescent="0.25"/>
  <cols>
    <col min="1" max="1" width="7.42578125" bestFit="1" customWidth="1"/>
    <col min="2" max="2" width="24.42578125" bestFit="1" customWidth="1"/>
    <col min="3" max="3" width="10.7109375" style="2" hidden="1" customWidth="1"/>
    <col min="4" max="4" width="9.140625" style="1" hidden="1" customWidth="1"/>
    <col min="5" max="5" width="5.42578125" style="1" hidden="1" customWidth="1"/>
    <col min="6" max="6" width="13.5703125" style="1" hidden="1" customWidth="1"/>
    <col min="7" max="7" width="13.7109375" style="1" hidden="1" customWidth="1"/>
    <col min="8" max="8" width="10.42578125" style="1" hidden="1" customWidth="1"/>
    <col min="9" max="9" width="12.140625" style="1" hidden="1" customWidth="1"/>
    <col min="10" max="10" width="10.42578125" style="1" hidden="1" customWidth="1"/>
    <col min="11" max="11" width="19.42578125" style="1" hidden="1" customWidth="1"/>
    <col min="12" max="12" width="9.140625" style="1" hidden="1" customWidth="1"/>
    <col min="13" max="13" width="6.5703125" style="1" hidden="1" customWidth="1"/>
    <col min="14" max="14" width="9" style="1" hidden="1" customWidth="1"/>
    <col min="15" max="15" width="9.140625" style="1" hidden="1" customWidth="1"/>
    <col min="16" max="16" width="8.28515625" style="1" hidden="1" customWidth="1"/>
    <col min="17" max="17" width="10.5703125" style="1" hidden="1" customWidth="1"/>
    <col min="18" max="18" width="10.42578125" hidden="1" customWidth="1"/>
    <col min="19" max="19" width="13.42578125" style="10" hidden="1" customWidth="1"/>
    <col min="20" max="20" width="9" style="16" hidden="1" customWidth="1"/>
    <col min="21" max="21" width="10.7109375" style="11" hidden="1" customWidth="1"/>
    <col min="22" max="22" width="8.140625" style="10" hidden="1" customWidth="1"/>
    <col min="23" max="24" width="20.7109375" hidden="1" customWidth="1"/>
    <col min="25" max="25" width="20.7109375" style="10" hidden="1" customWidth="1"/>
    <col min="26" max="26" width="16.5703125" style="10" hidden="1" customWidth="1"/>
    <col min="27" max="27" width="18.7109375" style="10" hidden="1" customWidth="1"/>
    <col min="28" max="28" width="18.140625" hidden="1" customWidth="1"/>
    <col min="29" max="29" width="26" hidden="1" customWidth="1"/>
    <col min="30" max="30" width="14.7109375" hidden="1" customWidth="1"/>
    <col min="31" max="31" width="11.85546875" hidden="1" customWidth="1"/>
    <col min="32" max="32" width="14.140625" hidden="1" customWidth="1"/>
    <col min="33" max="34" width="0" style="26" hidden="1" customWidth="1"/>
    <col min="35" max="37" width="10.140625" style="26" hidden="1" customWidth="1"/>
    <col min="38" max="39" width="0" style="26" hidden="1" customWidth="1"/>
    <col min="40" max="42" width="10.140625" style="26" hidden="1" customWidth="1"/>
    <col min="43" max="43" width="9.28515625" style="26" hidden="1" customWidth="1"/>
    <col min="44" max="46" width="10.140625" style="26" hidden="1" customWidth="1"/>
    <col min="47" max="48" width="0" hidden="1" customWidth="1"/>
    <col min="49" max="49" width="0" style="26" hidden="1" customWidth="1"/>
    <col min="50" max="51" width="17.85546875" hidden="1" customWidth="1"/>
    <col min="52" max="52" width="18.42578125" hidden="1" customWidth="1"/>
    <col min="53" max="53" width="9.85546875" customWidth="1"/>
    <col min="55" max="55" width="14" customWidth="1"/>
    <col min="56" max="56" width="12.42578125" customWidth="1"/>
  </cols>
  <sheetData>
    <row r="1" spans="1:56" x14ac:dyDescent="0.25">
      <c r="A1" s="14"/>
      <c r="B1" s="14"/>
      <c r="C1" s="153" t="s">
        <v>58</v>
      </c>
      <c r="D1" s="153"/>
      <c r="E1" s="153"/>
      <c r="F1" s="153"/>
      <c r="G1" s="153"/>
      <c r="H1" s="153"/>
      <c r="I1" s="153"/>
      <c r="J1" s="153"/>
      <c r="K1" s="153"/>
      <c r="L1" s="152" t="s">
        <v>57</v>
      </c>
      <c r="M1" s="152"/>
      <c r="N1" s="152"/>
      <c r="O1" s="152"/>
      <c r="P1" s="15"/>
      <c r="Q1" s="152"/>
      <c r="R1" s="152"/>
      <c r="S1" s="157" t="s">
        <v>88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31"/>
      <c r="AY1" s="31"/>
      <c r="AZ1" s="31"/>
    </row>
    <row r="2" spans="1:56" ht="105" x14ac:dyDescent="0.25">
      <c r="B2" s="4" t="s">
        <v>0</v>
      </c>
      <c r="C2" s="5" t="s">
        <v>15</v>
      </c>
      <c r="D2" s="6" t="s">
        <v>16</v>
      </c>
      <c r="E2" s="12" t="s">
        <v>119</v>
      </c>
      <c r="F2" s="6" t="s">
        <v>18</v>
      </c>
      <c r="G2" s="6" t="s">
        <v>17</v>
      </c>
      <c r="H2" s="12" t="s">
        <v>20</v>
      </c>
      <c r="I2" s="12" t="s">
        <v>21</v>
      </c>
      <c r="J2" s="6" t="s">
        <v>19</v>
      </c>
      <c r="K2" s="6" t="s">
        <v>1</v>
      </c>
      <c r="L2" s="6" t="s">
        <v>15</v>
      </c>
      <c r="M2" s="6" t="s">
        <v>16</v>
      </c>
      <c r="N2" s="6" t="s">
        <v>18</v>
      </c>
      <c r="O2" s="6" t="s">
        <v>17</v>
      </c>
      <c r="P2" s="12" t="s">
        <v>22</v>
      </c>
      <c r="Q2" s="6" t="s">
        <v>59</v>
      </c>
      <c r="R2" s="12" t="s">
        <v>93</v>
      </c>
      <c r="S2" s="13" t="s">
        <v>89</v>
      </c>
      <c r="T2" s="13" t="s">
        <v>90</v>
      </c>
      <c r="U2" s="17" t="s">
        <v>91</v>
      </c>
      <c r="V2" s="13" t="s">
        <v>92</v>
      </c>
      <c r="W2" s="12" t="s">
        <v>94</v>
      </c>
      <c r="X2" s="12" t="s">
        <v>95</v>
      </c>
      <c r="Y2" s="13" t="s">
        <v>96</v>
      </c>
      <c r="Z2" s="13" t="s">
        <v>97</v>
      </c>
      <c r="AA2" s="13" t="s">
        <v>98</v>
      </c>
      <c r="AB2" s="13" t="s">
        <v>107</v>
      </c>
      <c r="AC2" s="13" t="s">
        <v>108</v>
      </c>
      <c r="AD2" s="13" t="s">
        <v>112</v>
      </c>
      <c r="AE2" s="13" t="s">
        <v>123</v>
      </c>
      <c r="AF2" s="13" t="s">
        <v>125</v>
      </c>
      <c r="AG2" s="34" t="s">
        <v>126</v>
      </c>
      <c r="AH2" s="34" t="s">
        <v>127</v>
      </c>
      <c r="AI2" s="34" t="s">
        <v>128</v>
      </c>
      <c r="AJ2" s="34" t="s">
        <v>129</v>
      </c>
      <c r="AK2" s="34" t="s">
        <v>130</v>
      </c>
      <c r="AL2" s="34" t="s">
        <v>131</v>
      </c>
      <c r="AM2" s="34" t="s">
        <v>132</v>
      </c>
      <c r="AN2" s="34" t="s">
        <v>133</v>
      </c>
      <c r="AO2" s="34" t="s">
        <v>134</v>
      </c>
      <c r="AP2" s="34" t="s">
        <v>135</v>
      </c>
      <c r="AQ2" s="34" t="s">
        <v>136</v>
      </c>
      <c r="AR2" s="34" t="s">
        <v>137</v>
      </c>
      <c r="AS2" s="34" t="s">
        <v>138</v>
      </c>
      <c r="AT2" s="34" t="s">
        <v>139</v>
      </c>
      <c r="AU2" s="34" t="s">
        <v>140</v>
      </c>
      <c r="AV2" s="34" t="s">
        <v>142</v>
      </c>
      <c r="AW2" s="34" t="s">
        <v>144</v>
      </c>
      <c r="AX2" s="13" t="s">
        <v>122</v>
      </c>
      <c r="AY2" s="13" t="s">
        <v>147</v>
      </c>
      <c r="AZ2" s="34" t="s">
        <v>145</v>
      </c>
      <c r="BA2" s="34" t="s">
        <v>148</v>
      </c>
      <c r="BB2" s="34" t="s">
        <v>149</v>
      </c>
      <c r="BC2" s="34" t="s">
        <v>150</v>
      </c>
      <c r="BD2" s="34" t="s">
        <v>151</v>
      </c>
    </row>
    <row r="3" spans="1:56" x14ac:dyDescent="0.25">
      <c r="A3" s="187" t="s">
        <v>24</v>
      </c>
      <c r="B3" t="s">
        <v>23</v>
      </c>
      <c r="C3" s="2">
        <v>962</v>
      </c>
      <c r="D3" s="1">
        <v>22.5</v>
      </c>
      <c r="E3" s="1">
        <v>3</v>
      </c>
      <c r="F3" s="3">
        <f>C3*D3</f>
        <v>21645</v>
      </c>
      <c r="G3" s="3">
        <f>F3/9</f>
        <v>2405</v>
      </c>
      <c r="H3" s="2">
        <f xml:space="preserve"> (G3* (E3 / 36))</f>
        <v>200.41666666666666</v>
      </c>
      <c r="I3" s="1">
        <v>110</v>
      </c>
      <c r="J3" s="1">
        <f xml:space="preserve"> ROUNDUP(((I3 * E3 * G3)/2000), -1)</f>
        <v>400</v>
      </c>
      <c r="K3" s="1" t="s">
        <v>60</v>
      </c>
      <c r="L3" s="1">
        <v>14</v>
      </c>
      <c r="M3" s="1">
        <v>10</v>
      </c>
      <c r="N3" s="1">
        <f>L3 * M3</f>
        <v>140</v>
      </c>
      <c r="O3" s="3">
        <f>N3 / 9</f>
        <v>15.555555555555555</v>
      </c>
      <c r="Q3" s="1">
        <v>1</v>
      </c>
      <c r="S3" s="10">
        <f t="shared" ref="S3:S54" si="0">J3*160.33</f>
        <v>64132.000000000007</v>
      </c>
      <c r="T3" s="16">
        <f t="shared" ref="T3:T12" si="1">G3*4</f>
        <v>9620</v>
      </c>
      <c r="U3" s="10">
        <f t="shared" ref="U3:U12" si="2">O3*176.67</f>
        <v>2748.2</v>
      </c>
      <c r="AD3" s="26">
        <f t="shared" ref="AD3:AD4" si="3">Q3*227</f>
        <v>227</v>
      </c>
      <c r="AF3" s="26">
        <f t="shared" ref="AF3:AF54" si="4">(C3*2)*(0.167)/27*123.5</f>
        <v>1469.6865925925927</v>
      </c>
      <c r="AG3" s="26">
        <f>40*214</f>
        <v>8560</v>
      </c>
      <c r="AH3" s="26">
        <f>40*230.67</f>
        <v>9226.7999999999993</v>
      </c>
      <c r="AI3" s="26">
        <f>40*298.33</f>
        <v>11933.199999999999</v>
      </c>
      <c r="AJ3" s="26">
        <f>40*343.67</f>
        <v>13746.800000000001</v>
      </c>
      <c r="AK3" s="26">
        <f>40*444.67</f>
        <v>17786.8</v>
      </c>
      <c r="AL3" s="26">
        <f>40*216.33</f>
        <v>8653.2000000000007</v>
      </c>
      <c r="AM3" s="26">
        <f>40*249.33</f>
        <v>9973.2000000000007</v>
      </c>
      <c r="AN3" s="26">
        <f>40*310.33</f>
        <v>12413.199999999999</v>
      </c>
      <c r="AO3" s="26">
        <f>40*351.33</f>
        <v>14053.199999999999</v>
      </c>
      <c r="AP3" s="26">
        <f>40*420.33</f>
        <v>16813.2</v>
      </c>
      <c r="AQ3" s="26">
        <f>40*223.67</f>
        <v>8946.7999999999993</v>
      </c>
      <c r="AR3" s="26">
        <f>40*255</f>
        <v>10200</v>
      </c>
      <c r="AS3" s="26">
        <f>40*325.67</f>
        <v>13026.800000000001</v>
      </c>
      <c r="AT3" s="26">
        <f>40*436.33</f>
        <v>17453.2</v>
      </c>
      <c r="AW3" s="26">
        <f>16*27.67</f>
        <v>442.72</v>
      </c>
    </row>
    <row r="4" spans="1:56" x14ac:dyDescent="0.25">
      <c r="A4" s="187"/>
      <c r="B4" t="s">
        <v>2</v>
      </c>
      <c r="C4" s="2">
        <v>568</v>
      </c>
      <c r="D4" s="1">
        <v>23</v>
      </c>
      <c r="E4" s="1">
        <v>3</v>
      </c>
      <c r="F4" s="3">
        <f>C4*D4</f>
        <v>13064</v>
      </c>
      <c r="G4" s="3">
        <f t="shared" ref="G4:G23" si="5">F4/9</f>
        <v>1451.5555555555557</v>
      </c>
      <c r="H4" s="2">
        <f t="shared" ref="H4:H23" si="6" xml:space="preserve"> (G4* (E4 / 36))</f>
        <v>120.96296296296296</v>
      </c>
      <c r="I4" s="1">
        <v>110</v>
      </c>
      <c r="J4" s="1">
        <f t="shared" ref="J4:J55" si="7" xml:space="preserve"> ROUNDUP(((I4 * E4 * G4)/2000), -1)</f>
        <v>240</v>
      </c>
      <c r="K4" s="1" t="s">
        <v>60</v>
      </c>
      <c r="L4" s="1">
        <v>13</v>
      </c>
      <c r="M4" s="1">
        <v>23</v>
      </c>
      <c r="N4" s="1">
        <f t="shared" ref="N4:N23" si="8">L4 * M4</f>
        <v>299</v>
      </c>
      <c r="O4" s="3">
        <f t="shared" ref="O4:O23" si="9">N4 / 9</f>
        <v>33.222222222222221</v>
      </c>
      <c r="P4" s="1">
        <v>22</v>
      </c>
      <c r="Q4" s="1">
        <v>1</v>
      </c>
      <c r="S4" s="10">
        <f t="shared" si="0"/>
        <v>38479.200000000004</v>
      </c>
      <c r="T4" s="16">
        <f t="shared" si="1"/>
        <v>5806.2222222222226</v>
      </c>
      <c r="U4" s="10">
        <f t="shared" si="2"/>
        <v>5869.37</v>
      </c>
      <c r="V4" s="10">
        <f>P4*135.67</f>
        <v>2984.74</v>
      </c>
      <c r="AD4" s="26">
        <f t="shared" si="3"/>
        <v>227</v>
      </c>
      <c r="AF4" s="26">
        <f t="shared" si="4"/>
        <v>867.75674074074084</v>
      </c>
      <c r="AG4" s="26">
        <f>40*214</f>
        <v>8560</v>
      </c>
      <c r="AH4" s="26">
        <f>40*230.67</f>
        <v>9226.7999999999993</v>
      </c>
      <c r="AI4" s="26">
        <f>40*298.33</f>
        <v>11933.199999999999</v>
      </c>
      <c r="AJ4" s="26">
        <f>40*343.67</f>
        <v>13746.800000000001</v>
      </c>
      <c r="AK4" s="26">
        <f>40*444.67</f>
        <v>17786.8</v>
      </c>
      <c r="AL4" s="26">
        <f>40*216.33</f>
        <v>8653.2000000000007</v>
      </c>
      <c r="AM4" s="26">
        <f>40*216.33</f>
        <v>8653.2000000000007</v>
      </c>
      <c r="AN4" s="26">
        <f>40*310.33</f>
        <v>12413.199999999999</v>
      </c>
      <c r="AO4" s="26">
        <f>40*351.33</f>
        <v>14053.199999999999</v>
      </c>
      <c r="AP4" s="26">
        <f>40*420.33</f>
        <v>16813.2</v>
      </c>
      <c r="AQ4" s="26">
        <f>40*223.67</f>
        <v>8946.7999999999993</v>
      </c>
      <c r="AR4" s="26">
        <f>40*255</f>
        <v>10200</v>
      </c>
      <c r="AS4" s="26">
        <f>40*325.67</f>
        <v>13026.800000000001</v>
      </c>
      <c r="AT4" s="26">
        <f>40*436.33</f>
        <v>17453.2</v>
      </c>
      <c r="AW4" s="26">
        <f>16*27.67</f>
        <v>442.72</v>
      </c>
    </row>
    <row r="5" spans="1:56" x14ac:dyDescent="0.25">
      <c r="A5" s="187"/>
      <c r="B5" t="s">
        <v>3</v>
      </c>
      <c r="C5" s="2">
        <v>1186</v>
      </c>
      <c r="D5" s="1">
        <v>23</v>
      </c>
      <c r="E5" s="1">
        <v>3</v>
      </c>
      <c r="F5" s="3">
        <f>C5*D5</f>
        <v>27278</v>
      </c>
      <c r="G5" s="3">
        <f t="shared" si="5"/>
        <v>3030.8888888888887</v>
      </c>
      <c r="H5" s="2">
        <f t="shared" si="6"/>
        <v>252.57407407407405</v>
      </c>
      <c r="I5" s="1">
        <v>110</v>
      </c>
      <c r="J5" s="1">
        <f t="shared" si="7"/>
        <v>510</v>
      </c>
      <c r="K5" s="1" t="s">
        <v>60</v>
      </c>
      <c r="L5" s="1">
        <v>10</v>
      </c>
      <c r="M5" s="1">
        <v>15</v>
      </c>
      <c r="N5" s="1">
        <f t="shared" si="8"/>
        <v>150</v>
      </c>
      <c r="O5" s="3">
        <f t="shared" si="9"/>
        <v>16.666666666666668</v>
      </c>
      <c r="P5" s="1">
        <v>102</v>
      </c>
      <c r="Q5" s="1">
        <v>1</v>
      </c>
      <c r="S5" s="10">
        <f t="shared" si="0"/>
        <v>81768.3</v>
      </c>
      <c r="T5" s="16">
        <f t="shared" si="1"/>
        <v>12123.555555555555</v>
      </c>
      <c r="U5" s="10">
        <f t="shared" si="2"/>
        <v>2944.5</v>
      </c>
      <c r="V5" s="10">
        <f>P5*135.67</f>
        <v>13838.339999999998</v>
      </c>
      <c r="AD5" s="26">
        <f>Q5*227</f>
        <v>227</v>
      </c>
      <c r="AF5" s="26">
        <f t="shared" si="4"/>
        <v>1811.9005185185185</v>
      </c>
      <c r="AG5" s="26">
        <f>40*214</f>
        <v>8560</v>
      </c>
      <c r="AH5" s="26">
        <f>40*230.67</f>
        <v>9226.7999999999993</v>
      </c>
      <c r="AI5" s="26">
        <f>40*298.33</f>
        <v>11933.199999999999</v>
      </c>
      <c r="AJ5" s="26">
        <f>40*343.67</f>
        <v>13746.800000000001</v>
      </c>
      <c r="AK5" s="26">
        <f>40*444.67</f>
        <v>17786.8</v>
      </c>
      <c r="AL5" s="26">
        <f>40*216.33</f>
        <v>8653.2000000000007</v>
      </c>
      <c r="AM5" s="26">
        <f>40*216.33</f>
        <v>8653.2000000000007</v>
      </c>
      <c r="AN5" s="26">
        <f>40*310.33</f>
        <v>12413.199999999999</v>
      </c>
      <c r="AO5" s="26">
        <f>40*351.33</f>
        <v>14053.199999999999</v>
      </c>
      <c r="AP5" s="26">
        <f>40*420.33</f>
        <v>16813.2</v>
      </c>
      <c r="AQ5" s="26">
        <f>40*223.67</f>
        <v>8946.7999999999993</v>
      </c>
      <c r="AR5" s="26">
        <f>40*255</f>
        <v>10200</v>
      </c>
      <c r="AS5" s="26">
        <f>40*325.67</f>
        <v>13026.800000000001</v>
      </c>
      <c r="AT5" s="26">
        <f>40*436.33</f>
        <v>17453.2</v>
      </c>
      <c r="AW5" s="26">
        <f>16*27.67</f>
        <v>442.72</v>
      </c>
    </row>
    <row r="6" spans="1:56" x14ac:dyDescent="0.25">
      <c r="A6" s="187"/>
      <c r="B6" t="s">
        <v>5</v>
      </c>
      <c r="C6" s="2">
        <v>351</v>
      </c>
      <c r="D6" s="1">
        <v>23</v>
      </c>
      <c r="E6" s="1">
        <v>3</v>
      </c>
      <c r="F6" s="3">
        <f t="shared" ref="F6:F22" si="10">C6*D6</f>
        <v>8073</v>
      </c>
      <c r="G6" s="3">
        <f t="shared" si="5"/>
        <v>897</v>
      </c>
      <c r="H6" s="2">
        <f t="shared" si="6"/>
        <v>74.75</v>
      </c>
      <c r="I6" s="1">
        <v>110</v>
      </c>
      <c r="J6" s="1">
        <f t="shared" si="7"/>
        <v>150</v>
      </c>
      <c r="K6" s="1" t="s">
        <v>60</v>
      </c>
      <c r="L6" s="1">
        <v>4</v>
      </c>
      <c r="M6" s="1">
        <v>4</v>
      </c>
      <c r="N6" s="1">
        <f t="shared" si="8"/>
        <v>16</v>
      </c>
      <c r="O6" s="3">
        <f t="shared" si="9"/>
        <v>1.7777777777777777</v>
      </c>
      <c r="P6" s="1">
        <v>8</v>
      </c>
      <c r="Q6" s="1">
        <v>1</v>
      </c>
      <c r="S6" s="10">
        <f t="shared" si="0"/>
        <v>24049.500000000004</v>
      </c>
      <c r="T6" s="16">
        <f t="shared" si="1"/>
        <v>3588</v>
      </c>
      <c r="U6" s="10">
        <f t="shared" si="2"/>
        <v>314.08</v>
      </c>
      <c r="V6" s="10">
        <f>P6*135.67</f>
        <v>1085.3599999999999</v>
      </c>
      <c r="AD6" s="26">
        <f t="shared" ref="AD6:AD19" si="11">Q6*227</f>
        <v>227</v>
      </c>
      <c r="AF6" s="26">
        <f t="shared" si="4"/>
        <v>536.23700000000008</v>
      </c>
      <c r="AG6" s="26">
        <f t="shared" ref="AG6:AG22" si="12">40*214</f>
        <v>8560</v>
      </c>
      <c r="AH6" s="26">
        <f t="shared" ref="AH6:AH22" si="13">40*230.67</f>
        <v>9226.7999999999993</v>
      </c>
      <c r="AI6" s="26">
        <f t="shared" ref="AI6:AI22" si="14">40*298.33</f>
        <v>11933.199999999999</v>
      </c>
      <c r="AJ6" s="26">
        <f t="shared" ref="AJ6:AJ22" si="15">40*343.67</f>
        <v>13746.800000000001</v>
      </c>
      <c r="AK6" s="26">
        <f t="shared" ref="AK6:AK22" si="16">40*444.67</f>
        <v>17786.8</v>
      </c>
      <c r="AL6" s="26">
        <f t="shared" ref="AL6:AM22" si="17">40*216.33</f>
        <v>8653.2000000000007</v>
      </c>
      <c r="AM6" s="26">
        <f t="shared" si="17"/>
        <v>8653.2000000000007</v>
      </c>
      <c r="AN6" s="26">
        <f t="shared" ref="AN6:AN22" si="18">40*310.33</f>
        <v>12413.199999999999</v>
      </c>
      <c r="AO6" s="26">
        <f t="shared" ref="AO6:AO22" si="19">40*351.33</f>
        <v>14053.199999999999</v>
      </c>
      <c r="AP6" s="26">
        <f t="shared" ref="AP6:AP22" si="20">40*420.33</f>
        <v>16813.2</v>
      </c>
      <c r="AQ6" s="26">
        <f t="shared" ref="AQ6:AQ22" si="21">40*223.67</f>
        <v>8946.7999999999993</v>
      </c>
      <c r="AR6" s="26">
        <f t="shared" ref="AR6:AR22" si="22">40*255</f>
        <v>10200</v>
      </c>
      <c r="AS6" s="26">
        <f t="shared" ref="AS6:AS22" si="23">40*325.67</f>
        <v>13026.800000000001</v>
      </c>
      <c r="AT6" s="26">
        <f t="shared" ref="AT6:AT22" si="24">40*436.33</f>
        <v>17453.2</v>
      </c>
      <c r="AW6" s="26">
        <f t="shared" ref="AW6:AW22" si="25">16*27.67</f>
        <v>442.72</v>
      </c>
    </row>
    <row r="7" spans="1:56" x14ac:dyDescent="0.25">
      <c r="A7" s="187"/>
      <c r="B7" t="s">
        <v>6</v>
      </c>
      <c r="C7" s="2">
        <v>2010</v>
      </c>
      <c r="D7" s="1">
        <v>23</v>
      </c>
      <c r="E7" s="1">
        <v>3</v>
      </c>
      <c r="F7" s="3">
        <f t="shared" si="10"/>
        <v>46230</v>
      </c>
      <c r="G7" s="3">
        <f t="shared" si="5"/>
        <v>5136.666666666667</v>
      </c>
      <c r="H7" s="2">
        <f t="shared" si="6"/>
        <v>428.05555555555554</v>
      </c>
      <c r="I7" s="1">
        <v>110</v>
      </c>
      <c r="J7" s="1">
        <f t="shared" si="7"/>
        <v>850</v>
      </c>
      <c r="K7" s="1" t="s">
        <v>60</v>
      </c>
      <c r="L7" s="1">
        <v>8</v>
      </c>
      <c r="M7" s="1">
        <v>10</v>
      </c>
      <c r="N7" s="1">
        <f>L7 * M7</f>
        <v>80</v>
      </c>
      <c r="O7" s="3">
        <f>N7 / 9</f>
        <v>8.8888888888888893</v>
      </c>
      <c r="P7" s="1">
        <v>8</v>
      </c>
      <c r="Q7" s="1">
        <v>1</v>
      </c>
      <c r="S7" s="10">
        <f t="shared" si="0"/>
        <v>136280.5</v>
      </c>
      <c r="T7" s="16">
        <f t="shared" si="1"/>
        <v>20546.666666666668</v>
      </c>
      <c r="U7" s="10">
        <f t="shared" si="2"/>
        <v>1570.3999999999999</v>
      </c>
      <c r="V7" s="10">
        <f>P7*135.67</f>
        <v>1085.3599999999999</v>
      </c>
      <c r="AD7" s="26">
        <f t="shared" si="11"/>
        <v>227</v>
      </c>
      <c r="AF7" s="26">
        <f t="shared" si="4"/>
        <v>3070.758888888889</v>
      </c>
      <c r="AG7" s="26">
        <f t="shared" si="12"/>
        <v>8560</v>
      </c>
      <c r="AH7" s="26">
        <f t="shared" si="13"/>
        <v>9226.7999999999993</v>
      </c>
      <c r="AI7" s="26">
        <f t="shared" si="14"/>
        <v>11933.199999999999</v>
      </c>
      <c r="AJ7" s="26">
        <f t="shared" si="15"/>
        <v>13746.800000000001</v>
      </c>
      <c r="AK7" s="26">
        <f t="shared" si="16"/>
        <v>17786.8</v>
      </c>
      <c r="AL7" s="26">
        <f t="shared" si="17"/>
        <v>8653.2000000000007</v>
      </c>
      <c r="AM7" s="26">
        <f t="shared" si="17"/>
        <v>8653.2000000000007</v>
      </c>
      <c r="AN7" s="26">
        <f t="shared" si="18"/>
        <v>12413.199999999999</v>
      </c>
      <c r="AO7" s="26">
        <f t="shared" si="19"/>
        <v>14053.199999999999</v>
      </c>
      <c r="AP7" s="26">
        <f t="shared" si="20"/>
        <v>16813.2</v>
      </c>
      <c r="AQ7" s="26">
        <f t="shared" si="21"/>
        <v>8946.7999999999993</v>
      </c>
      <c r="AR7" s="26">
        <f t="shared" si="22"/>
        <v>10200</v>
      </c>
      <c r="AS7" s="26">
        <f t="shared" si="23"/>
        <v>13026.800000000001</v>
      </c>
      <c r="AT7" s="26">
        <f t="shared" si="24"/>
        <v>17453.2</v>
      </c>
      <c r="AW7" s="26">
        <f t="shared" si="25"/>
        <v>442.72</v>
      </c>
    </row>
    <row r="8" spans="1:56" x14ac:dyDescent="0.25">
      <c r="A8" s="187"/>
      <c r="B8" t="s">
        <v>55</v>
      </c>
      <c r="C8" s="2">
        <v>2635</v>
      </c>
      <c r="D8" s="1">
        <v>18</v>
      </c>
      <c r="E8" s="1">
        <v>3</v>
      </c>
      <c r="F8" s="3">
        <f t="shared" si="10"/>
        <v>47430</v>
      </c>
      <c r="G8" s="3">
        <f t="shared" si="5"/>
        <v>5270</v>
      </c>
      <c r="H8" s="2">
        <f t="shared" si="6"/>
        <v>439.16666666666663</v>
      </c>
      <c r="I8" s="1">
        <v>110</v>
      </c>
      <c r="J8" s="1">
        <f t="shared" si="7"/>
        <v>870</v>
      </c>
      <c r="K8" s="1" t="s">
        <v>60</v>
      </c>
      <c r="L8" s="1">
        <v>20</v>
      </c>
      <c r="M8" s="1">
        <v>7</v>
      </c>
      <c r="N8" s="1">
        <f>L8 * M8</f>
        <v>140</v>
      </c>
      <c r="O8" s="3">
        <f>N8 / 9</f>
        <v>15.555555555555555</v>
      </c>
      <c r="Q8" s="1">
        <v>1</v>
      </c>
      <c r="S8" s="10">
        <f t="shared" si="0"/>
        <v>139487.1</v>
      </c>
      <c r="T8" s="16">
        <f t="shared" si="1"/>
        <v>21080</v>
      </c>
      <c r="U8" s="10">
        <f t="shared" si="2"/>
        <v>2748.2</v>
      </c>
      <c r="AB8" s="26">
        <f>(C8*2)*(0.167)/27*171</f>
        <v>5573.9033333333336</v>
      </c>
      <c r="AC8" s="26">
        <f>(C8*2)*(0.167)/27*147</f>
        <v>4791.6011111111111</v>
      </c>
      <c r="AD8" s="26">
        <f t="shared" si="11"/>
        <v>227</v>
      </c>
      <c r="AF8" s="26">
        <f t="shared" si="4"/>
        <v>4025.5968518518516</v>
      </c>
      <c r="AG8" s="26">
        <f t="shared" si="12"/>
        <v>8560</v>
      </c>
      <c r="AH8" s="26">
        <f t="shared" si="13"/>
        <v>9226.7999999999993</v>
      </c>
      <c r="AI8" s="26">
        <f t="shared" si="14"/>
        <v>11933.199999999999</v>
      </c>
      <c r="AJ8" s="26">
        <f t="shared" si="15"/>
        <v>13746.800000000001</v>
      </c>
      <c r="AK8" s="26">
        <f t="shared" si="16"/>
        <v>17786.8</v>
      </c>
      <c r="AL8" s="26">
        <f t="shared" si="17"/>
        <v>8653.2000000000007</v>
      </c>
      <c r="AM8" s="26">
        <f t="shared" si="17"/>
        <v>8653.2000000000007</v>
      </c>
      <c r="AN8" s="26">
        <f t="shared" si="18"/>
        <v>12413.199999999999</v>
      </c>
      <c r="AO8" s="26">
        <f t="shared" si="19"/>
        <v>14053.199999999999</v>
      </c>
      <c r="AP8" s="26">
        <f t="shared" si="20"/>
        <v>16813.2</v>
      </c>
      <c r="AQ8" s="26">
        <f t="shared" si="21"/>
        <v>8946.7999999999993</v>
      </c>
      <c r="AR8" s="26">
        <f t="shared" si="22"/>
        <v>10200</v>
      </c>
      <c r="AS8" s="26">
        <f t="shared" si="23"/>
        <v>13026.800000000001</v>
      </c>
      <c r="AT8" s="26">
        <f t="shared" si="24"/>
        <v>17453.2</v>
      </c>
      <c r="AW8" s="26">
        <f t="shared" si="25"/>
        <v>442.72</v>
      </c>
    </row>
    <row r="9" spans="1:56" x14ac:dyDescent="0.25">
      <c r="A9" s="187"/>
      <c r="B9" t="s">
        <v>56</v>
      </c>
      <c r="C9" s="2">
        <v>744</v>
      </c>
      <c r="D9" s="1">
        <v>20</v>
      </c>
      <c r="E9" s="1">
        <v>3</v>
      </c>
      <c r="F9" s="3">
        <f t="shared" si="10"/>
        <v>14880</v>
      </c>
      <c r="G9" s="3">
        <f t="shared" si="5"/>
        <v>1653.3333333333333</v>
      </c>
      <c r="H9" s="2">
        <f t="shared" si="6"/>
        <v>137.77777777777777</v>
      </c>
      <c r="I9" s="1">
        <v>110</v>
      </c>
      <c r="J9" s="1">
        <f t="shared" si="7"/>
        <v>280</v>
      </c>
      <c r="K9" s="1" t="s">
        <v>60</v>
      </c>
      <c r="O9" s="3"/>
      <c r="Q9" s="1">
        <v>1</v>
      </c>
      <c r="S9" s="10">
        <f t="shared" si="0"/>
        <v>44892.4</v>
      </c>
      <c r="T9" s="16">
        <f t="shared" si="1"/>
        <v>6613.333333333333</v>
      </c>
      <c r="U9" s="10">
        <f t="shared" si="2"/>
        <v>0</v>
      </c>
      <c r="AB9" s="26">
        <f>(C9*2)*(0.167)/27*171</f>
        <v>1573.808</v>
      </c>
      <c r="AC9" s="26">
        <f>(C9*2)*(0.167)/27*147</f>
        <v>1352.9226666666666</v>
      </c>
      <c r="AD9" s="26">
        <f t="shared" si="11"/>
        <v>227</v>
      </c>
      <c r="AF9" s="26">
        <f t="shared" si="4"/>
        <v>1136.6391111111111</v>
      </c>
      <c r="AG9" s="26">
        <f t="shared" si="12"/>
        <v>8560</v>
      </c>
      <c r="AH9" s="26">
        <f t="shared" si="13"/>
        <v>9226.7999999999993</v>
      </c>
      <c r="AI9" s="26">
        <f t="shared" si="14"/>
        <v>11933.199999999999</v>
      </c>
      <c r="AJ9" s="26">
        <f t="shared" si="15"/>
        <v>13746.800000000001</v>
      </c>
      <c r="AK9" s="26">
        <f t="shared" si="16"/>
        <v>17786.8</v>
      </c>
      <c r="AL9" s="26">
        <f t="shared" si="17"/>
        <v>8653.2000000000007</v>
      </c>
      <c r="AM9" s="26">
        <f t="shared" si="17"/>
        <v>8653.2000000000007</v>
      </c>
      <c r="AN9" s="26">
        <f t="shared" si="18"/>
        <v>12413.199999999999</v>
      </c>
      <c r="AO9" s="26">
        <f t="shared" si="19"/>
        <v>14053.199999999999</v>
      </c>
      <c r="AP9" s="26">
        <f t="shared" si="20"/>
        <v>16813.2</v>
      </c>
      <c r="AQ9" s="26">
        <f t="shared" si="21"/>
        <v>8946.7999999999993</v>
      </c>
      <c r="AR9" s="26">
        <f t="shared" si="22"/>
        <v>10200</v>
      </c>
      <c r="AS9" s="26">
        <f t="shared" si="23"/>
        <v>13026.800000000001</v>
      </c>
      <c r="AT9" s="26">
        <f t="shared" si="24"/>
        <v>17453.2</v>
      </c>
      <c r="AW9" s="26">
        <f t="shared" si="25"/>
        <v>442.72</v>
      </c>
    </row>
    <row r="10" spans="1:56" x14ac:dyDescent="0.25">
      <c r="A10" s="187"/>
      <c r="B10" t="s">
        <v>40</v>
      </c>
      <c r="C10" s="2">
        <v>353</v>
      </c>
      <c r="D10" s="1">
        <v>23</v>
      </c>
      <c r="E10" s="1">
        <v>3</v>
      </c>
      <c r="F10" s="3">
        <f t="shared" si="10"/>
        <v>8119</v>
      </c>
      <c r="G10" s="3">
        <f t="shared" si="5"/>
        <v>902.11111111111109</v>
      </c>
      <c r="H10" s="2">
        <f t="shared" si="6"/>
        <v>75.175925925925924</v>
      </c>
      <c r="I10" s="1">
        <v>110</v>
      </c>
      <c r="J10" s="1">
        <f t="shared" si="7"/>
        <v>150</v>
      </c>
      <c r="K10" s="1" t="s">
        <v>60</v>
      </c>
      <c r="O10" s="3"/>
      <c r="Q10" s="1">
        <v>1</v>
      </c>
      <c r="S10" s="10">
        <f t="shared" si="0"/>
        <v>24049.500000000004</v>
      </c>
      <c r="T10" s="16">
        <f t="shared" si="1"/>
        <v>3608.4444444444443</v>
      </c>
      <c r="U10" s="10">
        <f t="shared" si="2"/>
        <v>0</v>
      </c>
      <c r="AD10" s="26">
        <f t="shared" si="11"/>
        <v>227</v>
      </c>
      <c r="AF10" s="26">
        <f t="shared" si="4"/>
        <v>539.29248148148145</v>
      </c>
      <c r="AG10" s="26">
        <f t="shared" si="12"/>
        <v>8560</v>
      </c>
      <c r="AH10" s="26">
        <f t="shared" si="13"/>
        <v>9226.7999999999993</v>
      </c>
      <c r="AI10" s="26">
        <f t="shared" si="14"/>
        <v>11933.199999999999</v>
      </c>
      <c r="AJ10" s="26">
        <f t="shared" si="15"/>
        <v>13746.800000000001</v>
      </c>
      <c r="AK10" s="26">
        <f t="shared" si="16"/>
        <v>17786.8</v>
      </c>
      <c r="AL10" s="26">
        <f t="shared" si="17"/>
        <v>8653.2000000000007</v>
      </c>
      <c r="AM10" s="26">
        <f t="shared" si="17"/>
        <v>8653.2000000000007</v>
      </c>
      <c r="AN10" s="26">
        <f t="shared" si="18"/>
        <v>12413.199999999999</v>
      </c>
      <c r="AO10" s="26">
        <f t="shared" si="19"/>
        <v>14053.199999999999</v>
      </c>
      <c r="AP10" s="26">
        <f t="shared" si="20"/>
        <v>16813.2</v>
      </c>
      <c r="AQ10" s="26">
        <f t="shared" si="21"/>
        <v>8946.7999999999993</v>
      </c>
      <c r="AR10" s="26">
        <f t="shared" si="22"/>
        <v>10200</v>
      </c>
      <c r="AS10" s="26">
        <f t="shared" si="23"/>
        <v>13026.800000000001</v>
      </c>
      <c r="AT10" s="26">
        <f t="shared" si="24"/>
        <v>17453.2</v>
      </c>
      <c r="AW10" s="26">
        <f t="shared" si="25"/>
        <v>442.72</v>
      </c>
    </row>
    <row r="11" spans="1:56" x14ac:dyDescent="0.25">
      <c r="A11" s="187"/>
      <c r="B11" t="s">
        <v>41</v>
      </c>
      <c r="C11" s="2">
        <v>422</v>
      </c>
      <c r="D11" s="1">
        <v>23</v>
      </c>
      <c r="E11" s="1">
        <v>3</v>
      </c>
      <c r="F11" s="3">
        <f t="shared" si="10"/>
        <v>9706</v>
      </c>
      <c r="G11" s="3">
        <f t="shared" si="5"/>
        <v>1078.4444444444443</v>
      </c>
      <c r="H11" s="2">
        <f t="shared" si="6"/>
        <v>89.870370370370352</v>
      </c>
      <c r="I11" s="1">
        <v>110</v>
      </c>
      <c r="J11" s="1">
        <f t="shared" si="7"/>
        <v>180</v>
      </c>
      <c r="K11" s="1" t="s">
        <v>60</v>
      </c>
      <c r="O11" s="3"/>
      <c r="Q11" s="1">
        <v>1</v>
      </c>
      <c r="S11" s="10">
        <f t="shared" si="0"/>
        <v>28859.4</v>
      </c>
      <c r="T11" s="16">
        <f t="shared" si="1"/>
        <v>4313.7777777777774</v>
      </c>
      <c r="U11" s="10">
        <f t="shared" si="2"/>
        <v>0</v>
      </c>
      <c r="AD11" s="26">
        <f t="shared" si="11"/>
        <v>227</v>
      </c>
      <c r="AF11" s="26">
        <f t="shared" si="4"/>
        <v>644.70659259259253</v>
      </c>
      <c r="AG11" s="26">
        <f t="shared" si="12"/>
        <v>8560</v>
      </c>
      <c r="AH11" s="26">
        <f t="shared" si="13"/>
        <v>9226.7999999999993</v>
      </c>
      <c r="AI11" s="26">
        <f t="shared" si="14"/>
        <v>11933.199999999999</v>
      </c>
      <c r="AJ11" s="26">
        <f t="shared" si="15"/>
        <v>13746.800000000001</v>
      </c>
      <c r="AK11" s="26">
        <f t="shared" si="16"/>
        <v>17786.8</v>
      </c>
      <c r="AL11" s="26">
        <f t="shared" si="17"/>
        <v>8653.2000000000007</v>
      </c>
      <c r="AM11" s="26">
        <f t="shared" si="17"/>
        <v>8653.2000000000007</v>
      </c>
      <c r="AN11" s="26">
        <f t="shared" si="18"/>
        <v>12413.199999999999</v>
      </c>
      <c r="AO11" s="26">
        <f t="shared" si="19"/>
        <v>14053.199999999999</v>
      </c>
      <c r="AP11" s="26">
        <f t="shared" si="20"/>
        <v>16813.2</v>
      </c>
      <c r="AQ11" s="26">
        <f t="shared" si="21"/>
        <v>8946.7999999999993</v>
      </c>
      <c r="AR11" s="26">
        <f t="shared" si="22"/>
        <v>10200</v>
      </c>
      <c r="AS11" s="26">
        <f t="shared" si="23"/>
        <v>13026.800000000001</v>
      </c>
      <c r="AT11" s="26">
        <f t="shared" si="24"/>
        <v>17453.2</v>
      </c>
      <c r="AW11" s="26">
        <f t="shared" si="25"/>
        <v>442.72</v>
      </c>
    </row>
    <row r="12" spans="1:56" x14ac:dyDescent="0.25">
      <c r="A12" s="188"/>
      <c r="B12" s="184" t="s">
        <v>42</v>
      </c>
      <c r="C12" s="2">
        <v>276</v>
      </c>
      <c r="D12" s="1">
        <v>23</v>
      </c>
      <c r="E12" s="1">
        <v>3</v>
      </c>
      <c r="F12" s="3">
        <f t="shared" si="10"/>
        <v>6348</v>
      </c>
      <c r="G12" s="3">
        <f t="shared" si="5"/>
        <v>705.33333333333337</v>
      </c>
      <c r="H12" s="2">
        <f t="shared" si="6"/>
        <v>58.777777777777779</v>
      </c>
      <c r="I12" s="1">
        <v>110</v>
      </c>
      <c r="J12" s="1">
        <f t="shared" si="7"/>
        <v>120</v>
      </c>
      <c r="K12" s="1" t="s">
        <v>60</v>
      </c>
      <c r="O12" s="3"/>
      <c r="Q12" s="1">
        <v>1</v>
      </c>
      <c r="S12" s="10">
        <f t="shared" si="0"/>
        <v>19239.600000000002</v>
      </c>
      <c r="T12" s="16">
        <f t="shared" si="1"/>
        <v>2821.3333333333335</v>
      </c>
      <c r="U12" s="10">
        <f t="shared" si="2"/>
        <v>0</v>
      </c>
      <c r="AD12" s="26">
        <f t="shared" si="11"/>
        <v>227</v>
      </c>
      <c r="AF12" s="26">
        <f t="shared" si="4"/>
        <v>421.6564444444445</v>
      </c>
      <c r="AG12" s="26">
        <f t="shared" si="12"/>
        <v>8560</v>
      </c>
      <c r="AH12" s="26">
        <f t="shared" si="13"/>
        <v>9226.7999999999993</v>
      </c>
      <c r="AI12" s="26">
        <f t="shared" si="14"/>
        <v>11933.199999999999</v>
      </c>
      <c r="AJ12" s="26">
        <f t="shared" si="15"/>
        <v>13746.800000000001</v>
      </c>
      <c r="AK12" s="26">
        <f t="shared" si="16"/>
        <v>17786.8</v>
      </c>
      <c r="AL12" s="26">
        <f t="shared" si="17"/>
        <v>8653.2000000000007</v>
      </c>
      <c r="AM12" s="26">
        <f t="shared" si="17"/>
        <v>8653.2000000000007</v>
      </c>
      <c r="AN12" s="26">
        <f t="shared" si="18"/>
        <v>12413.199999999999</v>
      </c>
      <c r="AO12" s="26">
        <f t="shared" si="19"/>
        <v>14053.199999999999</v>
      </c>
      <c r="AP12" s="26">
        <f t="shared" si="20"/>
        <v>16813.2</v>
      </c>
      <c r="AQ12" s="26">
        <f t="shared" si="21"/>
        <v>8946.7999999999993</v>
      </c>
      <c r="AR12" s="26">
        <f t="shared" si="22"/>
        <v>10200</v>
      </c>
      <c r="AS12" s="26">
        <f t="shared" si="23"/>
        <v>13026.800000000001</v>
      </c>
      <c r="AT12" s="26">
        <f t="shared" si="24"/>
        <v>17453.2</v>
      </c>
      <c r="AW12" s="26">
        <f t="shared" si="25"/>
        <v>442.72</v>
      </c>
    </row>
    <row r="13" spans="1:56" x14ac:dyDescent="0.25">
      <c r="A13" s="191" t="s">
        <v>47</v>
      </c>
      <c r="B13" s="189"/>
      <c r="F13" s="3"/>
      <c r="G13" s="3"/>
      <c r="H13" s="2"/>
      <c r="O13" s="3"/>
      <c r="U13" s="10"/>
      <c r="AD13" s="26"/>
      <c r="AF13" s="26"/>
    </row>
    <row r="14" spans="1:56" ht="15" customHeight="1" x14ac:dyDescent="0.25">
      <c r="A14" s="185"/>
      <c r="B14" t="s">
        <v>4</v>
      </c>
      <c r="C14" s="2">
        <v>1300</v>
      </c>
      <c r="D14" s="1">
        <v>12</v>
      </c>
      <c r="E14" s="1">
        <v>3</v>
      </c>
      <c r="F14" s="3">
        <f t="shared" si="10"/>
        <v>15600</v>
      </c>
      <c r="G14" s="3">
        <f t="shared" si="5"/>
        <v>1733.3333333333333</v>
      </c>
      <c r="H14" s="2">
        <f t="shared" si="6"/>
        <v>144.44444444444443</v>
      </c>
      <c r="I14" s="1">
        <v>110</v>
      </c>
      <c r="J14" s="1">
        <f t="shared" si="7"/>
        <v>290</v>
      </c>
      <c r="K14" s="1" t="s">
        <v>61</v>
      </c>
      <c r="O14" s="3"/>
      <c r="Q14" s="1">
        <v>1</v>
      </c>
      <c r="S14" s="10">
        <f t="shared" si="0"/>
        <v>46495.700000000004</v>
      </c>
      <c r="W14" s="10">
        <f>G14*10.13</f>
        <v>17558.666666666668</v>
      </c>
      <c r="X14" s="10">
        <f>G14*14.25</f>
        <v>24700</v>
      </c>
      <c r="Y14" s="10">
        <f>G14*17.03</f>
        <v>29518.666666666668</v>
      </c>
      <c r="Z14" s="10">
        <f>G14*6.83</f>
        <v>11838.666666666666</v>
      </c>
      <c r="AA14" s="10">
        <f>(C14/5280)*5432</f>
        <v>1337.4242424242425</v>
      </c>
      <c r="AD14" s="26">
        <f t="shared" si="11"/>
        <v>227</v>
      </c>
      <c r="AE14" s="10">
        <v>4333</v>
      </c>
      <c r="AF14" s="26">
        <f t="shared" si="4"/>
        <v>1986.0629629629632</v>
      </c>
      <c r="AG14" s="26">
        <f t="shared" si="12"/>
        <v>8560</v>
      </c>
      <c r="AH14" s="26">
        <f t="shared" si="13"/>
        <v>9226.7999999999993</v>
      </c>
      <c r="AI14" s="26">
        <f t="shared" si="14"/>
        <v>11933.199999999999</v>
      </c>
      <c r="AJ14" s="26">
        <f t="shared" si="15"/>
        <v>13746.800000000001</v>
      </c>
      <c r="AK14" s="26">
        <f t="shared" si="16"/>
        <v>17786.8</v>
      </c>
      <c r="AL14" s="26">
        <f t="shared" si="17"/>
        <v>8653.2000000000007</v>
      </c>
      <c r="AM14" s="26">
        <f t="shared" si="17"/>
        <v>8653.2000000000007</v>
      </c>
      <c r="AN14" s="26">
        <f t="shared" si="18"/>
        <v>12413.199999999999</v>
      </c>
      <c r="AO14" s="26">
        <f t="shared" si="19"/>
        <v>14053.199999999999</v>
      </c>
      <c r="AP14" s="26">
        <f t="shared" si="20"/>
        <v>16813.2</v>
      </c>
      <c r="AQ14" s="26">
        <f t="shared" si="21"/>
        <v>8946.7999999999993</v>
      </c>
      <c r="AR14" s="26">
        <f t="shared" si="22"/>
        <v>10200</v>
      </c>
      <c r="AS14" s="26">
        <f t="shared" si="23"/>
        <v>13026.800000000001</v>
      </c>
      <c r="AT14" s="26">
        <f t="shared" si="24"/>
        <v>17453.2</v>
      </c>
      <c r="AW14" s="26">
        <f t="shared" si="25"/>
        <v>442.72</v>
      </c>
    </row>
    <row r="15" spans="1:56" x14ac:dyDescent="0.25">
      <c r="A15" s="185"/>
      <c r="B15" t="s">
        <v>7</v>
      </c>
      <c r="C15" s="2">
        <v>1344</v>
      </c>
      <c r="D15" s="1">
        <v>15</v>
      </c>
      <c r="E15" s="1">
        <v>3</v>
      </c>
      <c r="F15" s="3">
        <f t="shared" si="10"/>
        <v>20160</v>
      </c>
      <c r="G15" s="3">
        <f t="shared" si="5"/>
        <v>2240</v>
      </c>
      <c r="H15" s="2">
        <f t="shared" si="6"/>
        <v>186.66666666666666</v>
      </c>
      <c r="I15" s="1">
        <v>110</v>
      </c>
      <c r="J15" s="1">
        <f t="shared" si="7"/>
        <v>370</v>
      </c>
      <c r="K15" s="1" t="s">
        <v>61</v>
      </c>
      <c r="O15" s="3"/>
      <c r="Q15" s="1">
        <v>1</v>
      </c>
      <c r="S15" s="10">
        <f t="shared" si="0"/>
        <v>59322.100000000006</v>
      </c>
      <c r="W15" s="10">
        <f>G15*10.13</f>
        <v>22691.200000000001</v>
      </c>
      <c r="X15" s="10">
        <f>G15*14.25</f>
        <v>31920</v>
      </c>
      <c r="Y15" s="10">
        <f>G15*17.03</f>
        <v>38147.200000000004</v>
      </c>
      <c r="Z15" s="10">
        <f>G15*6.83</f>
        <v>15299.2</v>
      </c>
      <c r="AA15" s="10">
        <f>(C15/5280)*5432</f>
        <v>1382.6909090909089</v>
      </c>
      <c r="AD15" s="26">
        <f t="shared" si="11"/>
        <v>227</v>
      </c>
      <c r="AE15" s="10">
        <v>4333</v>
      </c>
      <c r="AF15" s="26">
        <f t="shared" si="4"/>
        <v>2053.2835555555557</v>
      </c>
      <c r="AG15" s="26">
        <f t="shared" si="12"/>
        <v>8560</v>
      </c>
      <c r="AH15" s="26">
        <f t="shared" si="13"/>
        <v>9226.7999999999993</v>
      </c>
      <c r="AI15" s="26">
        <f t="shared" si="14"/>
        <v>11933.199999999999</v>
      </c>
      <c r="AJ15" s="26">
        <f t="shared" si="15"/>
        <v>13746.800000000001</v>
      </c>
      <c r="AK15" s="26">
        <f t="shared" si="16"/>
        <v>17786.8</v>
      </c>
      <c r="AL15" s="26">
        <f t="shared" si="17"/>
        <v>8653.2000000000007</v>
      </c>
      <c r="AM15" s="26">
        <f t="shared" si="17"/>
        <v>8653.2000000000007</v>
      </c>
      <c r="AN15" s="26">
        <f t="shared" si="18"/>
        <v>12413.199999999999</v>
      </c>
      <c r="AO15" s="26">
        <f t="shared" si="19"/>
        <v>14053.199999999999</v>
      </c>
      <c r="AP15" s="26">
        <f t="shared" si="20"/>
        <v>16813.2</v>
      </c>
      <c r="AQ15" s="26">
        <f t="shared" si="21"/>
        <v>8946.7999999999993</v>
      </c>
      <c r="AR15" s="26">
        <f t="shared" si="22"/>
        <v>10200</v>
      </c>
      <c r="AS15" s="26">
        <f t="shared" si="23"/>
        <v>13026.800000000001</v>
      </c>
      <c r="AT15" s="26">
        <f t="shared" si="24"/>
        <v>17453.2</v>
      </c>
      <c r="AU15" s="26">
        <f>C15/5280*5500</f>
        <v>1399.9999999999998</v>
      </c>
      <c r="AV15" s="26">
        <f>C15/5280*1661.33</f>
        <v>422.88399999999996</v>
      </c>
      <c r="AW15" s="26">
        <f t="shared" si="25"/>
        <v>442.72</v>
      </c>
    </row>
    <row r="16" spans="1:56" x14ac:dyDescent="0.25">
      <c r="A16" s="185"/>
      <c r="B16" t="s">
        <v>8</v>
      </c>
      <c r="C16" s="2">
        <v>439</v>
      </c>
      <c r="D16" s="1">
        <v>15</v>
      </c>
      <c r="E16" s="1">
        <v>3</v>
      </c>
      <c r="F16" s="3">
        <f t="shared" si="10"/>
        <v>6585</v>
      </c>
      <c r="G16" s="3">
        <f t="shared" si="5"/>
        <v>731.66666666666663</v>
      </c>
      <c r="H16" s="2">
        <f t="shared" si="6"/>
        <v>60.972222222222214</v>
      </c>
      <c r="I16" s="1">
        <v>110</v>
      </c>
      <c r="J16" s="1">
        <f t="shared" si="7"/>
        <v>130</v>
      </c>
      <c r="K16" s="1" t="s">
        <v>61</v>
      </c>
      <c r="O16" s="3"/>
      <c r="Q16" s="1">
        <v>1</v>
      </c>
      <c r="S16" s="10">
        <f t="shared" si="0"/>
        <v>20842.900000000001</v>
      </c>
      <c r="W16" s="10">
        <f>G16*10.13</f>
        <v>7411.7833333333338</v>
      </c>
      <c r="X16" s="10">
        <f>G16*14.25</f>
        <v>10426.25</v>
      </c>
      <c r="Y16" s="10">
        <f>G16*17.03</f>
        <v>12460.283333333333</v>
      </c>
      <c r="Z16" s="10">
        <f>G16*6.83</f>
        <v>4997.2833333333328</v>
      </c>
      <c r="AA16" s="10">
        <f>(C16/5280)*5432</f>
        <v>451.63787878787878</v>
      </c>
      <c r="AD16" s="26">
        <f t="shared" si="11"/>
        <v>227</v>
      </c>
      <c r="AE16" s="10">
        <v>4333</v>
      </c>
      <c r="AF16" s="26">
        <f t="shared" si="4"/>
        <v>670.67818518518516</v>
      </c>
      <c r="AG16" s="26">
        <f t="shared" si="12"/>
        <v>8560</v>
      </c>
      <c r="AH16" s="26">
        <f t="shared" si="13"/>
        <v>9226.7999999999993</v>
      </c>
      <c r="AI16" s="26">
        <f t="shared" si="14"/>
        <v>11933.199999999999</v>
      </c>
      <c r="AJ16" s="26">
        <f t="shared" si="15"/>
        <v>13746.800000000001</v>
      </c>
      <c r="AK16" s="26">
        <f t="shared" si="16"/>
        <v>17786.8</v>
      </c>
      <c r="AL16" s="26">
        <f t="shared" si="17"/>
        <v>8653.2000000000007</v>
      </c>
      <c r="AM16" s="26">
        <f t="shared" si="17"/>
        <v>8653.2000000000007</v>
      </c>
      <c r="AN16" s="26">
        <f t="shared" si="18"/>
        <v>12413.199999999999</v>
      </c>
      <c r="AO16" s="26">
        <f t="shared" si="19"/>
        <v>14053.199999999999</v>
      </c>
      <c r="AP16" s="26">
        <f t="shared" si="20"/>
        <v>16813.2</v>
      </c>
      <c r="AQ16" s="26">
        <f t="shared" si="21"/>
        <v>8946.7999999999993</v>
      </c>
      <c r="AR16" s="26">
        <f t="shared" si="22"/>
        <v>10200</v>
      </c>
      <c r="AS16" s="26">
        <f t="shared" si="23"/>
        <v>13026.800000000001</v>
      </c>
      <c r="AT16" s="26">
        <f t="shared" si="24"/>
        <v>17453.2</v>
      </c>
      <c r="AU16" s="26">
        <f>C16/5280*5500</f>
        <v>457.29166666666669</v>
      </c>
      <c r="AV16" s="26">
        <f>C16/5280*1661.33</f>
        <v>138.12952083333332</v>
      </c>
      <c r="AW16" s="26">
        <f t="shared" si="25"/>
        <v>442.72</v>
      </c>
    </row>
    <row r="17" spans="1:49" x14ac:dyDescent="0.25">
      <c r="A17" s="185"/>
      <c r="B17" t="s">
        <v>9</v>
      </c>
      <c r="C17" s="2">
        <v>2717</v>
      </c>
      <c r="D17" s="1">
        <v>22.5</v>
      </c>
      <c r="E17" s="1">
        <v>3</v>
      </c>
      <c r="F17" s="3">
        <f t="shared" si="10"/>
        <v>61132.5</v>
      </c>
      <c r="G17" s="3">
        <f t="shared" si="5"/>
        <v>6792.5</v>
      </c>
      <c r="H17" s="2">
        <f t="shared" si="6"/>
        <v>566.04166666666663</v>
      </c>
      <c r="I17" s="1">
        <v>110</v>
      </c>
      <c r="J17" s="1">
        <f t="shared" si="7"/>
        <v>1130</v>
      </c>
      <c r="K17" s="1" t="s">
        <v>60</v>
      </c>
      <c r="O17" s="3"/>
      <c r="Q17" s="1">
        <v>1</v>
      </c>
      <c r="S17" s="10">
        <f t="shared" si="0"/>
        <v>181172.90000000002</v>
      </c>
      <c r="T17" s="16">
        <f t="shared" ref="T17:T23" si="26">G17*4</f>
        <v>27170</v>
      </c>
      <c r="U17" s="10">
        <f t="shared" ref="U17:U23" si="27">O17*176.67</f>
        <v>0</v>
      </c>
      <c r="AD17" s="26">
        <f t="shared" si="11"/>
        <v>227</v>
      </c>
      <c r="AF17" s="26">
        <f t="shared" si="4"/>
        <v>4150.8715925925926</v>
      </c>
      <c r="AG17" s="26">
        <f t="shared" si="12"/>
        <v>8560</v>
      </c>
      <c r="AH17" s="26">
        <f t="shared" si="13"/>
        <v>9226.7999999999993</v>
      </c>
      <c r="AI17" s="26">
        <f t="shared" si="14"/>
        <v>11933.199999999999</v>
      </c>
      <c r="AJ17" s="26">
        <f t="shared" si="15"/>
        <v>13746.800000000001</v>
      </c>
      <c r="AK17" s="26">
        <f t="shared" si="16"/>
        <v>17786.8</v>
      </c>
      <c r="AL17" s="26">
        <f t="shared" si="17"/>
        <v>8653.2000000000007</v>
      </c>
      <c r="AM17" s="26">
        <f t="shared" si="17"/>
        <v>8653.2000000000007</v>
      </c>
      <c r="AN17" s="26">
        <f t="shared" si="18"/>
        <v>12413.199999999999</v>
      </c>
      <c r="AO17" s="26">
        <f t="shared" si="19"/>
        <v>14053.199999999999</v>
      </c>
      <c r="AP17" s="26">
        <f t="shared" si="20"/>
        <v>16813.2</v>
      </c>
      <c r="AQ17" s="26">
        <f t="shared" si="21"/>
        <v>8946.7999999999993</v>
      </c>
      <c r="AR17" s="26">
        <f t="shared" si="22"/>
        <v>10200</v>
      </c>
      <c r="AS17" s="26">
        <f t="shared" si="23"/>
        <v>13026.800000000001</v>
      </c>
      <c r="AT17" s="26">
        <f t="shared" si="24"/>
        <v>17453.2</v>
      </c>
      <c r="AW17" s="26">
        <f t="shared" si="25"/>
        <v>442.72</v>
      </c>
    </row>
    <row r="18" spans="1:49" x14ac:dyDescent="0.25">
      <c r="A18" s="185"/>
      <c r="B18" t="s">
        <v>10</v>
      </c>
      <c r="C18" s="2">
        <v>538</v>
      </c>
      <c r="D18" s="1">
        <v>22.5</v>
      </c>
      <c r="E18" s="1">
        <v>3</v>
      </c>
      <c r="F18" s="3">
        <f t="shared" si="10"/>
        <v>12105</v>
      </c>
      <c r="G18" s="3">
        <f t="shared" si="5"/>
        <v>1345</v>
      </c>
      <c r="H18" s="2">
        <f t="shared" si="6"/>
        <v>112.08333333333333</v>
      </c>
      <c r="I18" s="1">
        <v>110</v>
      </c>
      <c r="J18" s="1">
        <f t="shared" si="7"/>
        <v>230</v>
      </c>
      <c r="K18" s="1" t="s">
        <v>60</v>
      </c>
      <c r="O18" s="3"/>
      <c r="Q18" s="1">
        <v>1</v>
      </c>
      <c r="S18" s="10">
        <f t="shared" si="0"/>
        <v>36875.9</v>
      </c>
      <c r="T18" s="16">
        <f t="shared" si="26"/>
        <v>5380</v>
      </c>
      <c r="U18" s="10">
        <f t="shared" si="27"/>
        <v>0</v>
      </c>
      <c r="AD18" s="26">
        <f t="shared" si="11"/>
        <v>227</v>
      </c>
      <c r="AF18" s="26">
        <f t="shared" si="4"/>
        <v>821.92451851851854</v>
      </c>
      <c r="AG18" s="26">
        <f t="shared" si="12"/>
        <v>8560</v>
      </c>
      <c r="AH18" s="26">
        <f t="shared" si="13"/>
        <v>9226.7999999999993</v>
      </c>
      <c r="AI18" s="26">
        <f t="shared" si="14"/>
        <v>11933.199999999999</v>
      </c>
      <c r="AJ18" s="26">
        <f t="shared" si="15"/>
        <v>13746.800000000001</v>
      </c>
      <c r="AK18" s="26">
        <f t="shared" si="16"/>
        <v>17786.8</v>
      </c>
      <c r="AL18" s="26">
        <f t="shared" si="17"/>
        <v>8653.2000000000007</v>
      </c>
      <c r="AM18" s="26">
        <f t="shared" si="17"/>
        <v>8653.2000000000007</v>
      </c>
      <c r="AN18" s="26">
        <f t="shared" si="18"/>
        <v>12413.199999999999</v>
      </c>
      <c r="AO18" s="26">
        <f t="shared" si="19"/>
        <v>14053.199999999999</v>
      </c>
      <c r="AP18" s="26">
        <f t="shared" si="20"/>
        <v>16813.2</v>
      </c>
      <c r="AQ18" s="26">
        <f t="shared" si="21"/>
        <v>8946.7999999999993</v>
      </c>
      <c r="AR18" s="26">
        <f t="shared" si="22"/>
        <v>10200</v>
      </c>
      <c r="AS18" s="26">
        <f t="shared" si="23"/>
        <v>13026.800000000001</v>
      </c>
      <c r="AT18" s="26">
        <f t="shared" si="24"/>
        <v>17453.2</v>
      </c>
      <c r="AW18" s="26">
        <f t="shared" si="25"/>
        <v>442.72</v>
      </c>
    </row>
    <row r="19" spans="1:49" x14ac:dyDescent="0.25">
      <c r="A19" s="185"/>
      <c r="B19" t="s">
        <v>11</v>
      </c>
      <c r="C19" s="2">
        <v>276</v>
      </c>
      <c r="D19" s="1">
        <v>22.5</v>
      </c>
      <c r="E19" s="1">
        <v>3</v>
      </c>
      <c r="F19" s="3">
        <f t="shared" si="10"/>
        <v>6210</v>
      </c>
      <c r="G19" s="3">
        <f t="shared" si="5"/>
        <v>690</v>
      </c>
      <c r="H19" s="2">
        <f t="shared" si="6"/>
        <v>57.5</v>
      </c>
      <c r="I19" s="1">
        <v>110</v>
      </c>
      <c r="J19" s="1">
        <f t="shared" si="7"/>
        <v>120</v>
      </c>
      <c r="K19" s="1" t="s">
        <v>60</v>
      </c>
      <c r="O19" s="3"/>
      <c r="Q19" s="1">
        <v>1</v>
      </c>
      <c r="S19" s="10">
        <f t="shared" si="0"/>
        <v>19239.600000000002</v>
      </c>
      <c r="T19" s="16">
        <f t="shared" si="26"/>
        <v>2760</v>
      </c>
      <c r="U19" s="10">
        <f t="shared" si="27"/>
        <v>0</v>
      </c>
      <c r="AD19" s="26">
        <f t="shared" si="11"/>
        <v>227</v>
      </c>
      <c r="AF19" s="26">
        <f t="shared" si="4"/>
        <v>421.6564444444445</v>
      </c>
      <c r="AG19" s="26">
        <f t="shared" si="12"/>
        <v>8560</v>
      </c>
      <c r="AH19" s="26">
        <f t="shared" si="13"/>
        <v>9226.7999999999993</v>
      </c>
      <c r="AI19" s="26">
        <f t="shared" si="14"/>
        <v>11933.199999999999</v>
      </c>
      <c r="AJ19" s="26">
        <f t="shared" si="15"/>
        <v>13746.800000000001</v>
      </c>
      <c r="AK19" s="26">
        <f t="shared" si="16"/>
        <v>17786.8</v>
      </c>
      <c r="AL19" s="26">
        <f t="shared" si="17"/>
        <v>8653.2000000000007</v>
      </c>
      <c r="AM19" s="26">
        <f t="shared" si="17"/>
        <v>8653.2000000000007</v>
      </c>
      <c r="AN19" s="26">
        <f t="shared" si="18"/>
        <v>12413.199999999999</v>
      </c>
      <c r="AO19" s="26">
        <f t="shared" si="19"/>
        <v>14053.199999999999</v>
      </c>
      <c r="AP19" s="26">
        <f t="shared" si="20"/>
        <v>16813.2</v>
      </c>
      <c r="AQ19" s="26">
        <f t="shared" si="21"/>
        <v>8946.7999999999993</v>
      </c>
      <c r="AR19" s="26">
        <f t="shared" si="22"/>
        <v>10200</v>
      </c>
      <c r="AS19" s="26">
        <f t="shared" si="23"/>
        <v>13026.800000000001</v>
      </c>
      <c r="AT19" s="26">
        <f t="shared" si="24"/>
        <v>17453.2</v>
      </c>
      <c r="AW19" s="26">
        <f t="shared" si="25"/>
        <v>442.72</v>
      </c>
    </row>
    <row r="20" spans="1:49" x14ac:dyDescent="0.25">
      <c r="A20" s="185"/>
      <c r="B20" t="s">
        <v>12</v>
      </c>
      <c r="C20" s="2">
        <v>255</v>
      </c>
      <c r="D20" s="1">
        <v>22.5</v>
      </c>
      <c r="E20" s="1">
        <v>3</v>
      </c>
      <c r="F20" s="3">
        <f t="shared" si="10"/>
        <v>5737.5</v>
      </c>
      <c r="G20" s="3">
        <f t="shared" si="5"/>
        <v>637.5</v>
      </c>
      <c r="H20" s="2">
        <f t="shared" si="6"/>
        <v>53.125</v>
      </c>
      <c r="I20" s="1">
        <v>110</v>
      </c>
      <c r="J20" s="1">
        <f t="shared" si="7"/>
        <v>110</v>
      </c>
      <c r="K20" s="1" t="s">
        <v>60</v>
      </c>
      <c r="O20" s="3"/>
      <c r="Q20" s="1">
        <v>1</v>
      </c>
      <c r="S20" s="10">
        <f t="shared" si="0"/>
        <v>17636.300000000003</v>
      </c>
      <c r="T20" s="16">
        <f t="shared" si="26"/>
        <v>2550</v>
      </c>
      <c r="U20" s="10">
        <f t="shared" si="27"/>
        <v>0</v>
      </c>
      <c r="AD20" s="26">
        <f>Q20*227</f>
        <v>227</v>
      </c>
      <c r="AF20" s="26">
        <f t="shared" si="4"/>
        <v>389.57388888888892</v>
      </c>
      <c r="AG20" s="26">
        <f t="shared" si="12"/>
        <v>8560</v>
      </c>
      <c r="AH20" s="26">
        <f t="shared" si="13"/>
        <v>9226.7999999999993</v>
      </c>
      <c r="AI20" s="26">
        <f t="shared" si="14"/>
        <v>11933.199999999999</v>
      </c>
      <c r="AJ20" s="26">
        <f t="shared" si="15"/>
        <v>13746.800000000001</v>
      </c>
      <c r="AK20" s="26">
        <f t="shared" si="16"/>
        <v>17786.8</v>
      </c>
      <c r="AL20" s="26">
        <f t="shared" si="17"/>
        <v>8653.2000000000007</v>
      </c>
      <c r="AM20" s="26">
        <f t="shared" si="17"/>
        <v>8653.2000000000007</v>
      </c>
      <c r="AN20" s="26">
        <f t="shared" si="18"/>
        <v>12413.199999999999</v>
      </c>
      <c r="AO20" s="26">
        <f t="shared" si="19"/>
        <v>14053.199999999999</v>
      </c>
      <c r="AP20" s="26">
        <f t="shared" si="20"/>
        <v>16813.2</v>
      </c>
      <c r="AQ20" s="26">
        <f t="shared" si="21"/>
        <v>8946.7999999999993</v>
      </c>
      <c r="AR20" s="26">
        <f t="shared" si="22"/>
        <v>10200</v>
      </c>
      <c r="AS20" s="26">
        <f t="shared" si="23"/>
        <v>13026.800000000001</v>
      </c>
      <c r="AT20" s="26">
        <f t="shared" si="24"/>
        <v>17453.2</v>
      </c>
      <c r="AW20" s="26">
        <f t="shared" si="25"/>
        <v>442.72</v>
      </c>
    </row>
    <row r="21" spans="1:49" x14ac:dyDescent="0.25">
      <c r="A21" s="185"/>
      <c r="B21" t="s">
        <v>46</v>
      </c>
      <c r="C21" s="2">
        <v>320</v>
      </c>
      <c r="D21" s="1">
        <v>22.5</v>
      </c>
      <c r="E21" s="1">
        <v>3</v>
      </c>
      <c r="F21" s="3">
        <f t="shared" si="10"/>
        <v>7200</v>
      </c>
      <c r="G21" s="3">
        <f t="shared" si="5"/>
        <v>800</v>
      </c>
      <c r="H21" s="2">
        <f t="shared" si="6"/>
        <v>66.666666666666657</v>
      </c>
      <c r="I21" s="1">
        <v>110</v>
      </c>
      <c r="J21" s="1">
        <f xml:space="preserve"> ROUNDUP(((I21 * E21 * G21)/2000), -1)</f>
        <v>140</v>
      </c>
      <c r="K21" s="1" t="s">
        <v>60</v>
      </c>
      <c r="O21" s="3"/>
      <c r="Q21" s="1">
        <v>1</v>
      </c>
      <c r="S21" s="10">
        <f t="shared" si="0"/>
        <v>22446.2</v>
      </c>
      <c r="T21" s="16">
        <f t="shared" si="26"/>
        <v>3200</v>
      </c>
      <c r="U21" s="10">
        <f t="shared" si="27"/>
        <v>0</v>
      </c>
      <c r="AD21" s="26">
        <f t="shared" ref="AD21:AD22" si="28">Q21*227</f>
        <v>227</v>
      </c>
      <c r="AF21" s="26">
        <f t="shared" si="4"/>
        <v>488.8770370370371</v>
      </c>
      <c r="AG21" s="26">
        <f t="shared" si="12"/>
        <v>8560</v>
      </c>
      <c r="AH21" s="26">
        <f t="shared" si="13"/>
        <v>9226.7999999999993</v>
      </c>
      <c r="AI21" s="26">
        <f t="shared" si="14"/>
        <v>11933.199999999999</v>
      </c>
      <c r="AJ21" s="26">
        <f t="shared" si="15"/>
        <v>13746.800000000001</v>
      </c>
      <c r="AK21" s="26">
        <f t="shared" si="16"/>
        <v>17786.8</v>
      </c>
      <c r="AL21" s="26">
        <f t="shared" si="17"/>
        <v>8653.2000000000007</v>
      </c>
      <c r="AM21" s="26">
        <f t="shared" si="17"/>
        <v>8653.2000000000007</v>
      </c>
      <c r="AN21" s="26">
        <f t="shared" si="18"/>
        <v>12413.199999999999</v>
      </c>
      <c r="AO21" s="26">
        <f t="shared" si="19"/>
        <v>14053.199999999999</v>
      </c>
      <c r="AP21" s="26">
        <f t="shared" si="20"/>
        <v>16813.2</v>
      </c>
      <c r="AQ21" s="26">
        <f t="shared" si="21"/>
        <v>8946.7999999999993</v>
      </c>
      <c r="AR21" s="26">
        <f t="shared" si="22"/>
        <v>10200</v>
      </c>
      <c r="AS21" s="26">
        <f t="shared" si="23"/>
        <v>13026.800000000001</v>
      </c>
      <c r="AT21" s="26">
        <f t="shared" si="24"/>
        <v>17453.2</v>
      </c>
      <c r="AW21" s="26">
        <f t="shared" si="25"/>
        <v>442.72</v>
      </c>
    </row>
    <row r="22" spans="1:49" x14ac:dyDescent="0.25">
      <c r="A22" s="185"/>
      <c r="B22" t="s">
        <v>13</v>
      </c>
      <c r="C22" s="2">
        <v>2810</v>
      </c>
      <c r="D22" s="1">
        <v>17</v>
      </c>
      <c r="E22" s="1">
        <v>3</v>
      </c>
      <c r="F22" s="3">
        <f t="shared" si="10"/>
        <v>47770</v>
      </c>
      <c r="G22" s="3">
        <f t="shared" si="5"/>
        <v>5307.7777777777774</v>
      </c>
      <c r="H22" s="2">
        <f t="shared" si="6"/>
        <v>442.31481481481478</v>
      </c>
      <c r="I22" s="1">
        <v>110</v>
      </c>
      <c r="J22" s="1">
        <f t="shared" si="7"/>
        <v>880</v>
      </c>
      <c r="K22" s="1" t="s">
        <v>60</v>
      </c>
      <c r="L22" s="1">
        <v>93</v>
      </c>
      <c r="M22" s="1">
        <v>7</v>
      </c>
      <c r="N22" s="1">
        <f t="shared" si="8"/>
        <v>651</v>
      </c>
      <c r="O22" s="3">
        <f t="shared" si="9"/>
        <v>72.333333333333329</v>
      </c>
      <c r="Q22" s="1">
        <v>1</v>
      </c>
      <c r="S22" s="10">
        <f t="shared" si="0"/>
        <v>141090.40000000002</v>
      </c>
      <c r="T22" s="16">
        <f t="shared" si="26"/>
        <v>21231.111111111109</v>
      </c>
      <c r="U22" s="10">
        <f t="shared" si="27"/>
        <v>12779.129999999997</v>
      </c>
      <c r="AB22" s="26">
        <f>(C22*2)*(0.167)/27*171</f>
        <v>5944.086666666667</v>
      </c>
      <c r="AC22" s="26">
        <f>(C22*2)*(0.167)/27*147</f>
        <v>5109.8288888888892</v>
      </c>
      <c r="AD22" s="26">
        <f t="shared" si="28"/>
        <v>227</v>
      </c>
      <c r="AF22" s="26">
        <f t="shared" si="4"/>
        <v>4292.951481481482</v>
      </c>
      <c r="AG22" s="26">
        <f t="shared" si="12"/>
        <v>8560</v>
      </c>
      <c r="AH22" s="26">
        <f t="shared" si="13"/>
        <v>9226.7999999999993</v>
      </c>
      <c r="AI22" s="26">
        <f t="shared" si="14"/>
        <v>11933.199999999999</v>
      </c>
      <c r="AJ22" s="26">
        <f t="shared" si="15"/>
        <v>13746.800000000001</v>
      </c>
      <c r="AK22" s="26">
        <f t="shared" si="16"/>
        <v>17786.8</v>
      </c>
      <c r="AL22" s="26">
        <f t="shared" si="17"/>
        <v>8653.2000000000007</v>
      </c>
      <c r="AM22" s="26">
        <f t="shared" si="17"/>
        <v>8653.2000000000007</v>
      </c>
      <c r="AN22" s="26">
        <f t="shared" si="18"/>
        <v>12413.199999999999</v>
      </c>
      <c r="AO22" s="26">
        <f t="shared" si="19"/>
        <v>14053.199999999999</v>
      </c>
      <c r="AP22" s="26">
        <f t="shared" si="20"/>
        <v>16813.2</v>
      </c>
      <c r="AQ22" s="26">
        <f t="shared" si="21"/>
        <v>8946.7999999999993</v>
      </c>
      <c r="AR22" s="26">
        <f t="shared" si="22"/>
        <v>10200</v>
      </c>
      <c r="AS22" s="26">
        <f t="shared" si="23"/>
        <v>13026.800000000001</v>
      </c>
      <c r="AT22" s="26">
        <f t="shared" si="24"/>
        <v>17453.2</v>
      </c>
      <c r="AU22" s="26">
        <f>C22/5280*5500</f>
        <v>2927.0833333333335</v>
      </c>
      <c r="AV22" s="26">
        <f>C22/5280*1661.33</f>
        <v>884.15479166666671</v>
      </c>
      <c r="AW22" s="26">
        <f t="shared" si="25"/>
        <v>442.72</v>
      </c>
    </row>
    <row r="23" spans="1:49" x14ac:dyDescent="0.25">
      <c r="A23" s="185"/>
      <c r="B23" t="s">
        <v>14</v>
      </c>
      <c r="C23" s="2">
        <v>1261</v>
      </c>
      <c r="D23" s="1">
        <v>20</v>
      </c>
      <c r="E23" s="1">
        <v>3</v>
      </c>
      <c r="F23" s="3">
        <f>C23*D23</f>
        <v>25220</v>
      </c>
      <c r="G23" s="3">
        <f t="shared" si="5"/>
        <v>2802.2222222222222</v>
      </c>
      <c r="H23" s="2">
        <f t="shared" si="6"/>
        <v>233.5185185185185</v>
      </c>
      <c r="I23" s="1">
        <v>110</v>
      </c>
      <c r="J23" s="1">
        <f t="shared" si="7"/>
        <v>470</v>
      </c>
      <c r="K23" s="1" t="s">
        <v>60</v>
      </c>
      <c r="L23" s="1">
        <v>8</v>
      </c>
      <c r="M23" s="1">
        <v>20</v>
      </c>
      <c r="N23" s="1">
        <f t="shared" si="8"/>
        <v>160</v>
      </c>
      <c r="O23" s="3">
        <f t="shared" si="9"/>
        <v>17.777777777777779</v>
      </c>
      <c r="Q23" s="1">
        <v>1</v>
      </c>
      <c r="S23" s="10">
        <f t="shared" si="0"/>
        <v>75355.100000000006</v>
      </c>
      <c r="T23" s="16">
        <f t="shared" si="26"/>
        <v>11208.888888888889</v>
      </c>
      <c r="U23" s="10">
        <f t="shared" si="27"/>
        <v>3140.7999999999997</v>
      </c>
      <c r="AB23" s="26">
        <f>(C23*2)*(0.167)/27*171</f>
        <v>2667.4353333333333</v>
      </c>
      <c r="AC23" s="26">
        <f>(C23*2)*(0.167)/27*147</f>
        <v>2293.0584444444444</v>
      </c>
      <c r="AD23" s="26">
        <f>Q23*227</f>
        <v>227</v>
      </c>
      <c r="AF23" s="26">
        <f t="shared" si="4"/>
        <v>1926.4810740740741</v>
      </c>
      <c r="AG23" s="26">
        <f>40*214</f>
        <v>8560</v>
      </c>
      <c r="AH23" s="26">
        <f>40*230.67</f>
        <v>9226.7999999999993</v>
      </c>
      <c r="AI23" s="26">
        <f>40*298.33</f>
        <v>11933.199999999999</v>
      </c>
      <c r="AJ23" s="26">
        <f>40*343.67</f>
        <v>13746.800000000001</v>
      </c>
      <c r="AK23" s="26">
        <f>40*444.67</f>
        <v>17786.8</v>
      </c>
      <c r="AL23" s="26">
        <f>40*216.33</f>
        <v>8653.2000000000007</v>
      </c>
      <c r="AM23" s="26">
        <f>40*216.33</f>
        <v>8653.2000000000007</v>
      </c>
      <c r="AN23" s="26">
        <f>40*310.33</f>
        <v>12413.199999999999</v>
      </c>
      <c r="AO23" s="26">
        <f>40*351.33</f>
        <v>14053.199999999999</v>
      </c>
      <c r="AP23" s="26">
        <f>40*420.33</f>
        <v>16813.2</v>
      </c>
      <c r="AQ23" s="26">
        <f>40*223.67</f>
        <v>8946.7999999999993</v>
      </c>
      <c r="AR23" s="26">
        <f>40*255</f>
        <v>10200</v>
      </c>
      <c r="AS23" s="26">
        <f>40*325.67</f>
        <v>13026.800000000001</v>
      </c>
      <c r="AT23" s="26">
        <f>40*436.33</f>
        <v>17453.2</v>
      </c>
      <c r="AW23" s="26">
        <f>16*27.67</f>
        <v>442.72</v>
      </c>
    </row>
    <row r="24" spans="1:49" x14ac:dyDescent="0.25">
      <c r="A24" s="185"/>
      <c r="B24" t="s">
        <v>39</v>
      </c>
      <c r="C24" s="2">
        <v>2206</v>
      </c>
      <c r="D24" s="1">
        <v>18</v>
      </c>
      <c r="E24" s="1">
        <v>3</v>
      </c>
      <c r="F24" s="3">
        <f t="shared" ref="F24:F77" si="29">C24*D24</f>
        <v>39708</v>
      </c>
      <c r="G24" s="3">
        <f t="shared" ref="G24:G77" si="30">F24/9</f>
        <v>4412</v>
      </c>
      <c r="H24" s="2">
        <f t="shared" ref="H24:H77" si="31" xml:space="preserve"> (G24* (E24 / 36))</f>
        <v>367.66666666666663</v>
      </c>
      <c r="I24" s="1">
        <v>110</v>
      </c>
      <c r="J24" s="1">
        <f t="shared" si="7"/>
        <v>730</v>
      </c>
      <c r="K24" s="1" t="s">
        <v>61</v>
      </c>
      <c r="O24" s="3"/>
      <c r="Q24" s="1">
        <v>1</v>
      </c>
      <c r="S24" s="10">
        <f t="shared" si="0"/>
        <v>117040.90000000001</v>
      </c>
      <c r="W24" s="10">
        <f>G24*10.13</f>
        <v>44693.560000000005</v>
      </c>
      <c r="X24" s="10">
        <f>G24*14.25</f>
        <v>62871</v>
      </c>
      <c r="Y24" s="10">
        <f>G24*17.03</f>
        <v>75136.36</v>
      </c>
      <c r="Z24" s="10">
        <f>G24*6.83</f>
        <v>30133.96</v>
      </c>
      <c r="AA24" s="10">
        <f>(C24/5280)*5432</f>
        <v>2269.5060606060606</v>
      </c>
      <c r="AD24" s="26">
        <f>Q24*227</f>
        <v>227</v>
      </c>
      <c r="AE24" s="10">
        <v>9333</v>
      </c>
      <c r="AF24" s="26">
        <f t="shared" si="4"/>
        <v>3370.1960740740747</v>
      </c>
      <c r="AG24" s="26">
        <f t="shared" ref="AG24:AG35" si="32">40*214</f>
        <v>8560</v>
      </c>
      <c r="AH24" s="26">
        <f t="shared" ref="AH24:AH35" si="33">40*230.67</f>
        <v>9226.7999999999993</v>
      </c>
      <c r="AI24" s="26">
        <f t="shared" ref="AI24:AI35" si="34">40*298.33</f>
        <v>11933.199999999999</v>
      </c>
      <c r="AJ24" s="26">
        <f t="shared" ref="AJ24:AJ35" si="35">40*343.67</f>
        <v>13746.800000000001</v>
      </c>
      <c r="AK24" s="26">
        <f t="shared" ref="AK24:AK35" si="36">40*444.67</f>
        <v>17786.8</v>
      </c>
      <c r="AL24" s="26">
        <f t="shared" ref="AL24:AM35" si="37">40*216.33</f>
        <v>8653.2000000000007</v>
      </c>
      <c r="AM24" s="26">
        <f t="shared" si="37"/>
        <v>8653.2000000000007</v>
      </c>
      <c r="AN24" s="26">
        <f t="shared" ref="AN24:AN35" si="38">40*310.33</f>
        <v>12413.199999999999</v>
      </c>
      <c r="AO24" s="26">
        <f t="shared" ref="AO24:AO35" si="39">40*351.33</f>
        <v>14053.199999999999</v>
      </c>
      <c r="AP24" s="26">
        <f t="shared" ref="AP24:AP35" si="40">40*420.33</f>
        <v>16813.2</v>
      </c>
      <c r="AQ24" s="26">
        <f t="shared" ref="AQ24:AQ35" si="41">40*223.67</f>
        <v>8946.7999999999993</v>
      </c>
      <c r="AR24" s="26">
        <f t="shared" ref="AR24:AR35" si="42">40*255</f>
        <v>10200</v>
      </c>
      <c r="AS24" s="26">
        <f t="shared" ref="AS24:AS35" si="43">40*325.67</f>
        <v>13026.800000000001</v>
      </c>
      <c r="AT24" s="26">
        <f t="shared" ref="AT24:AT35" si="44">40*436.33</f>
        <v>17453.2</v>
      </c>
      <c r="AW24" s="26">
        <f t="shared" ref="AW24:AW35" si="45">16*27.67</f>
        <v>442.72</v>
      </c>
    </row>
    <row r="25" spans="1:49" x14ac:dyDescent="0.25">
      <c r="A25" s="185"/>
      <c r="B25" t="s">
        <v>43</v>
      </c>
      <c r="C25" s="2">
        <v>1030</v>
      </c>
      <c r="D25" s="1">
        <v>23</v>
      </c>
      <c r="E25" s="1">
        <v>3</v>
      </c>
      <c r="F25" s="3">
        <f t="shared" si="29"/>
        <v>23690</v>
      </c>
      <c r="G25" s="3">
        <f t="shared" si="30"/>
        <v>2632.2222222222222</v>
      </c>
      <c r="H25" s="2">
        <f t="shared" si="31"/>
        <v>219.35185185185185</v>
      </c>
      <c r="I25" s="1">
        <v>110</v>
      </c>
      <c r="J25" s="1">
        <f t="shared" si="7"/>
        <v>440</v>
      </c>
      <c r="K25" s="1" t="s">
        <v>60</v>
      </c>
      <c r="O25" s="3"/>
      <c r="Q25" s="1">
        <v>1</v>
      </c>
      <c r="S25" s="10">
        <f t="shared" si="0"/>
        <v>70545.200000000012</v>
      </c>
      <c r="T25" s="16">
        <f t="shared" ref="T25:T31" si="46">G25*4</f>
        <v>10528.888888888889</v>
      </c>
      <c r="U25" s="10">
        <f t="shared" ref="U25:U31" si="47">O25*176.67</f>
        <v>0</v>
      </c>
      <c r="AD25" s="26">
        <f t="shared" ref="AD25:AD35" si="48">Q25*227</f>
        <v>227</v>
      </c>
      <c r="AF25" s="26">
        <f t="shared" si="4"/>
        <v>1573.5729629629632</v>
      </c>
      <c r="AG25" s="26">
        <f t="shared" si="32"/>
        <v>8560</v>
      </c>
      <c r="AH25" s="26">
        <f t="shared" si="33"/>
        <v>9226.7999999999993</v>
      </c>
      <c r="AI25" s="26">
        <f t="shared" si="34"/>
        <v>11933.199999999999</v>
      </c>
      <c r="AJ25" s="26">
        <f t="shared" si="35"/>
        <v>13746.800000000001</v>
      </c>
      <c r="AK25" s="26">
        <f t="shared" si="36"/>
        <v>17786.8</v>
      </c>
      <c r="AL25" s="26">
        <f t="shared" si="37"/>
        <v>8653.2000000000007</v>
      </c>
      <c r="AM25" s="26">
        <f t="shared" si="37"/>
        <v>8653.2000000000007</v>
      </c>
      <c r="AN25" s="26">
        <f t="shared" si="38"/>
        <v>12413.199999999999</v>
      </c>
      <c r="AO25" s="26">
        <f t="shared" si="39"/>
        <v>14053.199999999999</v>
      </c>
      <c r="AP25" s="26">
        <f t="shared" si="40"/>
        <v>16813.2</v>
      </c>
      <c r="AQ25" s="26">
        <f t="shared" si="41"/>
        <v>8946.7999999999993</v>
      </c>
      <c r="AR25" s="26">
        <f t="shared" si="42"/>
        <v>10200</v>
      </c>
      <c r="AS25" s="26">
        <f t="shared" si="43"/>
        <v>13026.800000000001</v>
      </c>
      <c r="AT25" s="26">
        <f t="shared" si="44"/>
        <v>17453.2</v>
      </c>
      <c r="AW25" s="26">
        <f t="shared" si="45"/>
        <v>442.72</v>
      </c>
    </row>
    <row r="26" spans="1:49" x14ac:dyDescent="0.25">
      <c r="A26" s="185"/>
      <c r="B26" t="s">
        <v>78</v>
      </c>
      <c r="C26" s="2">
        <v>1594</v>
      </c>
      <c r="D26" s="1">
        <v>23</v>
      </c>
      <c r="E26" s="1">
        <v>3</v>
      </c>
      <c r="F26" s="3">
        <f>C26*D26</f>
        <v>36662</v>
      </c>
      <c r="G26" s="3">
        <f>F26/9</f>
        <v>4073.5555555555557</v>
      </c>
      <c r="H26" s="2">
        <f xml:space="preserve"> (G26* (E26 / 36))</f>
        <v>339.46296296296293</v>
      </c>
      <c r="I26" s="1">
        <v>110</v>
      </c>
      <c r="J26" s="1">
        <f xml:space="preserve"> ROUNDUP(((I26 * E26 * G26)/2000), -1)</f>
        <v>680</v>
      </c>
      <c r="K26" s="1" t="s">
        <v>60</v>
      </c>
      <c r="O26" s="3"/>
      <c r="Q26" s="1">
        <v>1</v>
      </c>
      <c r="S26" s="10">
        <f t="shared" si="0"/>
        <v>109024.40000000001</v>
      </c>
      <c r="T26" s="16">
        <f t="shared" si="46"/>
        <v>16294.222222222223</v>
      </c>
      <c r="U26" s="10">
        <f t="shared" si="47"/>
        <v>0</v>
      </c>
      <c r="AD26" s="26">
        <f t="shared" si="48"/>
        <v>227</v>
      </c>
      <c r="AF26" s="26">
        <f t="shared" si="4"/>
        <v>2435.2187407407409</v>
      </c>
      <c r="AG26" s="26">
        <f t="shared" si="32"/>
        <v>8560</v>
      </c>
      <c r="AH26" s="26">
        <f t="shared" si="33"/>
        <v>9226.7999999999993</v>
      </c>
      <c r="AI26" s="26">
        <f t="shared" si="34"/>
        <v>11933.199999999999</v>
      </c>
      <c r="AJ26" s="26">
        <f t="shared" si="35"/>
        <v>13746.800000000001</v>
      </c>
      <c r="AK26" s="26">
        <f t="shared" si="36"/>
        <v>17786.8</v>
      </c>
      <c r="AL26" s="26">
        <f t="shared" si="37"/>
        <v>8653.2000000000007</v>
      </c>
      <c r="AM26" s="26">
        <f t="shared" si="37"/>
        <v>8653.2000000000007</v>
      </c>
      <c r="AN26" s="26">
        <f t="shared" si="38"/>
        <v>12413.199999999999</v>
      </c>
      <c r="AO26" s="26">
        <f t="shared" si="39"/>
        <v>14053.199999999999</v>
      </c>
      <c r="AP26" s="26">
        <f t="shared" si="40"/>
        <v>16813.2</v>
      </c>
      <c r="AQ26" s="26">
        <f t="shared" si="41"/>
        <v>8946.7999999999993</v>
      </c>
      <c r="AR26" s="26">
        <f t="shared" si="42"/>
        <v>10200</v>
      </c>
      <c r="AS26" s="26">
        <f t="shared" si="43"/>
        <v>13026.800000000001</v>
      </c>
      <c r="AT26" s="26">
        <f t="shared" si="44"/>
        <v>17453.2</v>
      </c>
      <c r="AW26" s="26">
        <f t="shared" si="45"/>
        <v>442.72</v>
      </c>
    </row>
    <row r="27" spans="1:49" x14ac:dyDescent="0.25">
      <c r="A27" s="185"/>
      <c r="B27" t="s">
        <v>79</v>
      </c>
      <c r="C27" s="2">
        <v>1121</v>
      </c>
      <c r="D27" s="1">
        <v>23</v>
      </c>
      <c r="E27" s="1">
        <v>3</v>
      </c>
      <c r="F27" s="3">
        <f>C27*D27</f>
        <v>25783</v>
      </c>
      <c r="G27" s="3">
        <f>F27/9</f>
        <v>2864.7777777777778</v>
      </c>
      <c r="H27" s="2">
        <f xml:space="preserve"> (G27* (E27 / 36))</f>
        <v>238.73148148148147</v>
      </c>
      <c r="I27" s="1">
        <v>110</v>
      </c>
      <c r="J27" s="1">
        <f xml:space="preserve"> ROUNDUP(((I27 * E27 * G27)/2000), -1)</f>
        <v>480</v>
      </c>
      <c r="K27" s="1" t="s">
        <v>60</v>
      </c>
      <c r="O27" s="3"/>
      <c r="Q27" s="1">
        <v>1</v>
      </c>
      <c r="S27" s="10">
        <f t="shared" si="0"/>
        <v>76958.400000000009</v>
      </c>
      <c r="T27" s="16">
        <f t="shared" si="46"/>
        <v>11459.111111111111</v>
      </c>
      <c r="U27" s="10">
        <f t="shared" si="47"/>
        <v>0</v>
      </c>
      <c r="AD27" s="26">
        <f t="shared" si="48"/>
        <v>227</v>
      </c>
      <c r="AF27" s="26">
        <f t="shared" si="4"/>
        <v>1712.5973703703705</v>
      </c>
      <c r="AG27" s="26">
        <f t="shared" si="32"/>
        <v>8560</v>
      </c>
      <c r="AH27" s="26">
        <f t="shared" si="33"/>
        <v>9226.7999999999993</v>
      </c>
      <c r="AI27" s="26">
        <f t="shared" si="34"/>
        <v>11933.199999999999</v>
      </c>
      <c r="AJ27" s="26">
        <f t="shared" si="35"/>
        <v>13746.800000000001</v>
      </c>
      <c r="AK27" s="26">
        <f t="shared" si="36"/>
        <v>17786.8</v>
      </c>
      <c r="AL27" s="26">
        <f t="shared" si="37"/>
        <v>8653.2000000000007</v>
      </c>
      <c r="AM27" s="26">
        <f t="shared" si="37"/>
        <v>8653.2000000000007</v>
      </c>
      <c r="AN27" s="26">
        <f t="shared" si="38"/>
        <v>12413.199999999999</v>
      </c>
      <c r="AO27" s="26">
        <f t="shared" si="39"/>
        <v>14053.199999999999</v>
      </c>
      <c r="AP27" s="26">
        <f t="shared" si="40"/>
        <v>16813.2</v>
      </c>
      <c r="AQ27" s="26">
        <f t="shared" si="41"/>
        <v>8946.7999999999993</v>
      </c>
      <c r="AR27" s="26">
        <f t="shared" si="42"/>
        <v>10200</v>
      </c>
      <c r="AS27" s="26">
        <f t="shared" si="43"/>
        <v>13026.800000000001</v>
      </c>
      <c r="AT27" s="26">
        <f t="shared" si="44"/>
        <v>17453.2</v>
      </c>
      <c r="AW27" s="26">
        <f t="shared" si="45"/>
        <v>442.72</v>
      </c>
    </row>
    <row r="28" spans="1:49" x14ac:dyDescent="0.25">
      <c r="A28" s="185"/>
      <c r="B28" t="s">
        <v>80</v>
      </c>
      <c r="C28" s="2">
        <v>813</v>
      </c>
      <c r="D28" s="1">
        <v>23</v>
      </c>
      <c r="E28" s="1">
        <v>3</v>
      </c>
      <c r="F28" s="3">
        <f>C28*D28</f>
        <v>18699</v>
      </c>
      <c r="G28" s="3">
        <f>F28/9</f>
        <v>2077.6666666666665</v>
      </c>
      <c r="H28" s="2">
        <f xml:space="preserve"> (G28* (E28 / 36))</f>
        <v>173.13888888888886</v>
      </c>
      <c r="I28" s="1">
        <v>110</v>
      </c>
      <c r="J28" s="1">
        <f xml:space="preserve"> ROUNDUP(((I28 * E28 * G28)/2000), -1)</f>
        <v>350</v>
      </c>
      <c r="K28" s="1" t="s">
        <v>60</v>
      </c>
      <c r="O28" s="3"/>
      <c r="Q28" s="1">
        <v>1</v>
      </c>
      <c r="S28" s="10">
        <f t="shared" si="0"/>
        <v>56115.500000000007</v>
      </c>
      <c r="T28" s="16">
        <f t="shared" si="46"/>
        <v>8310.6666666666661</v>
      </c>
      <c r="U28" s="10">
        <f t="shared" si="47"/>
        <v>0</v>
      </c>
      <c r="AD28" s="26">
        <f t="shared" si="48"/>
        <v>227</v>
      </c>
      <c r="AF28" s="26">
        <f t="shared" si="4"/>
        <v>1242.0532222222223</v>
      </c>
      <c r="AG28" s="26">
        <f t="shared" si="32"/>
        <v>8560</v>
      </c>
      <c r="AH28" s="26">
        <f t="shared" si="33"/>
        <v>9226.7999999999993</v>
      </c>
      <c r="AI28" s="26">
        <f t="shared" si="34"/>
        <v>11933.199999999999</v>
      </c>
      <c r="AJ28" s="26">
        <f t="shared" si="35"/>
        <v>13746.800000000001</v>
      </c>
      <c r="AK28" s="26">
        <f t="shared" si="36"/>
        <v>17786.8</v>
      </c>
      <c r="AL28" s="26">
        <f t="shared" si="37"/>
        <v>8653.2000000000007</v>
      </c>
      <c r="AM28" s="26">
        <f t="shared" si="37"/>
        <v>8653.2000000000007</v>
      </c>
      <c r="AN28" s="26">
        <f t="shared" si="38"/>
        <v>12413.199999999999</v>
      </c>
      <c r="AO28" s="26">
        <f t="shared" si="39"/>
        <v>14053.199999999999</v>
      </c>
      <c r="AP28" s="26">
        <f t="shared" si="40"/>
        <v>16813.2</v>
      </c>
      <c r="AQ28" s="26">
        <f t="shared" si="41"/>
        <v>8946.7999999999993</v>
      </c>
      <c r="AR28" s="26">
        <f t="shared" si="42"/>
        <v>10200</v>
      </c>
      <c r="AS28" s="26">
        <f t="shared" si="43"/>
        <v>13026.800000000001</v>
      </c>
      <c r="AT28" s="26">
        <f t="shared" si="44"/>
        <v>17453.2</v>
      </c>
      <c r="AW28" s="26">
        <f t="shared" si="45"/>
        <v>442.72</v>
      </c>
    </row>
    <row r="29" spans="1:49" x14ac:dyDescent="0.25">
      <c r="A29" s="185"/>
      <c r="B29" t="s">
        <v>82</v>
      </c>
      <c r="C29" s="2">
        <v>810</v>
      </c>
      <c r="D29" s="1">
        <v>23</v>
      </c>
      <c r="E29" s="1">
        <v>3</v>
      </c>
      <c r="F29" s="3">
        <f>C29*D29</f>
        <v>18630</v>
      </c>
      <c r="G29" s="3">
        <f>F29/9</f>
        <v>2070</v>
      </c>
      <c r="H29" s="2">
        <f xml:space="preserve"> (G29* (E29 / 36))</f>
        <v>172.5</v>
      </c>
      <c r="I29" s="1">
        <v>110</v>
      </c>
      <c r="J29" s="1">
        <f xml:space="preserve"> ROUNDUP(((I29 * E29 * G29)/2000), -1)</f>
        <v>350</v>
      </c>
      <c r="K29" s="1" t="s">
        <v>60</v>
      </c>
      <c r="O29" s="3"/>
      <c r="Q29" s="1">
        <v>1</v>
      </c>
      <c r="S29" s="10">
        <f t="shared" si="0"/>
        <v>56115.500000000007</v>
      </c>
      <c r="T29" s="16">
        <f t="shared" si="46"/>
        <v>8280</v>
      </c>
      <c r="U29" s="10">
        <f t="shared" si="47"/>
        <v>0</v>
      </c>
      <c r="AD29" s="26">
        <f t="shared" si="48"/>
        <v>227</v>
      </c>
      <c r="AF29" s="26">
        <f t="shared" si="4"/>
        <v>1237.4700000000003</v>
      </c>
      <c r="AG29" s="26">
        <f t="shared" si="32"/>
        <v>8560</v>
      </c>
      <c r="AH29" s="26">
        <f t="shared" si="33"/>
        <v>9226.7999999999993</v>
      </c>
      <c r="AI29" s="26">
        <f t="shared" si="34"/>
        <v>11933.199999999999</v>
      </c>
      <c r="AJ29" s="26">
        <f t="shared" si="35"/>
        <v>13746.800000000001</v>
      </c>
      <c r="AK29" s="26">
        <f t="shared" si="36"/>
        <v>17786.8</v>
      </c>
      <c r="AL29" s="26">
        <f t="shared" si="37"/>
        <v>8653.2000000000007</v>
      </c>
      <c r="AM29" s="26">
        <f t="shared" si="37"/>
        <v>8653.2000000000007</v>
      </c>
      <c r="AN29" s="26">
        <f t="shared" si="38"/>
        <v>12413.199999999999</v>
      </c>
      <c r="AO29" s="26">
        <f t="shared" si="39"/>
        <v>14053.199999999999</v>
      </c>
      <c r="AP29" s="26">
        <f t="shared" si="40"/>
        <v>16813.2</v>
      </c>
      <c r="AQ29" s="26">
        <f t="shared" si="41"/>
        <v>8946.7999999999993</v>
      </c>
      <c r="AR29" s="26">
        <f t="shared" si="42"/>
        <v>10200</v>
      </c>
      <c r="AS29" s="26">
        <f t="shared" si="43"/>
        <v>13026.800000000001</v>
      </c>
      <c r="AT29" s="26">
        <f t="shared" si="44"/>
        <v>17453.2</v>
      </c>
      <c r="AW29" s="26">
        <f t="shared" si="45"/>
        <v>442.72</v>
      </c>
    </row>
    <row r="30" spans="1:49" x14ac:dyDescent="0.25">
      <c r="A30" s="185"/>
      <c r="B30" t="s">
        <v>81</v>
      </c>
      <c r="C30" s="2">
        <v>778</v>
      </c>
      <c r="D30" s="1">
        <v>23</v>
      </c>
      <c r="E30" s="1">
        <v>3</v>
      </c>
      <c r="F30" s="3">
        <f>C30*D30</f>
        <v>17894</v>
      </c>
      <c r="G30" s="3">
        <f>F30/9</f>
        <v>1988.2222222222222</v>
      </c>
      <c r="H30" s="2">
        <f xml:space="preserve"> (G30* (E30 / 36))</f>
        <v>165.68518518518516</v>
      </c>
      <c r="I30" s="1">
        <v>110</v>
      </c>
      <c r="J30" s="1">
        <f xml:space="preserve"> ROUNDUP(((I30 * E30 * G30)/2000), -1)</f>
        <v>330</v>
      </c>
      <c r="K30" s="1" t="s">
        <v>60</v>
      </c>
      <c r="O30" s="3"/>
      <c r="Q30" s="1">
        <v>1</v>
      </c>
      <c r="S30" s="10">
        <f t="shared" si="0"/>
        <v>52908.9</v>
      </c>
      <c r="T30" s="16">
        <f t="shared" si="46"/>
        <v>7952.8888888888887</v>
      </c>
      <c r="U30" s="10">
        <f t="shared" si="47"/>
        <v>0</v>
      </c>
      <c r="AD30" s="26">
        <f t="shared" si="48"/>
        <v>227</v>
      </c>
      <c r="AF30" s="26">
        <f t="shared" si="4"/>
        <v>1188.5822962962966</v>
      </c>
      <c r="AG30" s="26">
        <f t="shared" si="32"/>
        <v>8560</v>
      </c>
      <c r="AH30" s="26">
        <f t="shared" si="33"/>
        <v>9226.7999999999993</v>
      </c>
      <c r="AI30" s="26">
        <f t="shared" si="34"/>
        <v>11933.199999999999</v>
      </c>
      <c r="AJ30" s="26">
        <f t="shared" si="35"/>
        <v>13746.800000000001</v>
      </c>
      <c r="AK30" s="26">
        <f t="shared" si="36"/>
        <v>17786.8</v>
      </c>
      <c r="AL30" s="26">
        <f t="shared" si="37"/>
        <v>8653.2000000000007</v>
      </c>
      <c r="AM30" s="26">
        <f t="shared" si="37"/>
        <v>8653.2000000000007</v>
      </c>
      <c r="AN30" s="26">
        <f t="shared" si="38"/>
        <v>12413.199999999999</v>
      </c>
      <c r="AO30" s="26">
        <f t="shared" si="39"/>
        <v>14053.199999999999</v>
      </c>
      <c r="AP30" s="26">
        <f t="shared" si="40"/>
        <v>16813.2</v>
      </c>
      <c r="AQ30" s="26">
        <f t="shared" si="41"/>
        <v>8946.7999999999993</v>
      </c>
      <c r="AR30" s="26">
        <f t="shared" si="42"/>
        <v>10200</v>
      </c>
      <c r="AS30" s="26">
        <f t="shared" si="43"/>
        <v>13026.800000000001</v>
      </c>
      <c r="AT30" s="26">
        <f t="shared" si="44"/>
        <v>17453.2</v>
      </c>
      <c r="AW30" s="26">
        <f t="shared" si="45"/>
        <v>442.72</v>
      </c>
    </row>
    <row r="31" spans="1:49" x14ac:dyDescent="0.25">
      <c r="A31" s="185"/>
      <c r="B31" t="s">
        <v>44</v>
      </c>
      <c r="C31" s="2">
        <v>1020</v>
      </c>
      <c r="D31" s="1">
        <v>16</v>
      </c>
      <c r="E31" s="1">
        <v>3</v>
      </c>
      <c r="F31" s="3">
        <f t="shared" si="29"/>
        <v>16320</v>
      </c>
      <c r="G31" s="3">
        <f t="shared" si="30"/>
        <v>1813.3333333333333</v>
      </c>
      <c r="H31" s="2">
        <f t="shared" si="31"/>
        <v>151.11111111111109</v>
      </c>
      <c r="I31" s="1">
        <v>110</v>
      </c>
      <c r="J31" s="1">
        <f t="shared" si="7"/>
        <v>300</v>
      </c>
      <c r="K31" s="1" t="s">
        <v>60</v>
      </c>
      <c r="O31" s="3"/>
      <c r="Q31" s="1">
        <v>1</v>
      </c>
      <c r="S31" s="10">
        <f t="shared" si="0"/>
        <v>48099.000000000007</v>
      </c>
      <c r="T31" s="16">
        <f t="shared" si="46"/>
        <v>7253.333333333333</v>
      </c>
      <c r="U31" s="10">
        <f t="shared" si="47"/>
        <v>0</v>
      </c>
      <c r="AB31" s="26">
        <f>(C31*2)*(0.167)/27*171</f>
        <v>2157.6400000000003</v>
      </c>
      <c r="AC31" s="26">
        <f>(C31*2)*(0.167)/27*147</f>
        <v>1854.8133333333335</v>
      </c>
      <c r="AD31" s="26">
        <f t="shared" si="48"/>
        <v>227</v>
      </c>
      <c r="AF31" s="26">
        <f t="shared" si="4"/>
        <v>1558.2955555555557</v>
      </c>
      <c r="AG31" s="26">
        <f t="shared" si="32"/>
        <v>8560</v>
      </c>
      <c r="AH31" s="26">
        <f t="shared" si="33"/>
        <v>9226.7999999999993</v>
      </c>
      <c r="AI31" s="26">
        <f t="shared" si="34"/>
        <v>11933.199999999999</v>
      </c>
      <c r="AJ31" s="26">
        <f t="shared" si="35"/>
        <v>13746.800000000001</v>
      </c>
      <c r="AK31" s="26">
        <f t="shared" si="36"/>
        <v>17786.8</v>
      </c>
      <c r="AL31" s="26">
        <f t="shared" si="37"/>
        <v>8653.2000000000007</v>
      </c>
      <c r="AM31" s="26">
        <f t="shared" si="37"/>
        <v>8653.2000000000007</v>
      </c>
      <c r="AN31" s="26">
        <f t="shared" si="38"/>
        <v>12413.199999999999</v>
      </c>
      <c r="AO31" s="26">
        <f t="shared" si="39"/>
        <v>14053.199999999999</v>
      </c>
      <c r="AP31" s="26">
        <f t="shared" si="40"/>
        <v>16813.2</v>
      </c>
      <c r="AQ31" s="26">
        <f t="shared" si="41"/>
        <v>8946.7999999999993</v>
      </c>
      <c r="AR31" s="26">
        <f t="shared" si="42"/>
        <v>10200</v>
      </c>
      <c r="AS31" s="26">
        <f t="shared" si="43"/>
        <v>13026.800000000001</v>
      </c>
      <c r="AT31" s="26">
        <f t="shared" si="44"/>
        <v>17453.2</v>
      </c>
      <c r="AU31" s="26">
        <f>C31/5280*5500</f>
        <v>1062.5</v>
      </c>
      <c r="AV31" s="26">
        <f>C31/5280*1661.33</f>
        <v>320.93874999999997</v>
      </c>
      <c r="AW31" s="26">
        <f t="shared" si="45"/>
        <v>442.72</v>
      </c>
    </row>
    <row r="32" spans="1:49" x14ac:dyDescent="0.25">
      <c r="A32" s="186"/>
      <c r="B32" s="184" t="s">
        <v>45</v>
      </c>
      <c r="C32" s="2">
        <v>2136</v>
      </c>
      <c r="D32" s="1">
        <v>15</v>
      </c>
      <c r="E32" s="1">
        <v>3</v>
      </c>
      <c r="F32" s="3">
        <f t="shared" si="29"/>
        <v>32040</v>
      </c>
      <c r="G32" s="3">
        <f t="shared" si="30"/>
        <v>3560</v>
      </c>
      <c r="H32" s="2">
        <f t="shared" si="31"/>
        <v>296.66666666666663</v>
      </c>
      <c r="I32" s="1">
        <v>110</v>
      </c>
      <c r="J32" s="1">
        <f t="shared" si="7"/>
        <v>590</v>
      </c>
      <c r="K32" s="1" t="s">
        <v>61</v>
      </c>
      <c r="O32" s="3"/>
      <c r="Q32" s="1">
        <v>1</v>
      </c>
      <c r="S32" s="10">
        <f t="shared" si="0"/>
        <v>94594.700000000012</v>
      </c>
      <c r="W32" s="10">
        <f>G32*10.13</f>
        <v>36062.800000000003</v>
      </c>
      <c r="X32" s="10">
        <f>G32*14.25</f>
        <v>50730</v>
      </c>
      <c r="Y32" s="10">
        <f>G32*17.03</f>
        <v>60626.8</v>
      </c>
      <c r="Z32" s="10">
        <f>G32*6.83</f>
        <v>24314.799999999999</v>
      </c>
      <c r="AA32" s="10">
        <f>(C32/5280)*5432</f>
        <v>2197.4909090909091</v>
      </c>
      <c r="AD32" s="26">
        <f t="shared" si="48"/>
        <v>227</v>
      </c>
      <c r="AE32" s="10">
        <v>4333</v>
      </c>
      <c r="AF32" s="26">
        <f t="shared" si="4"/>
        <v>3263.2542222222228</v>
      </c>
      <c r="AG32" s="26">
        <f t="shared" si="32"/>
        <v>8560</v>
      </c>
      <c r="AH32" s="26">
        <f t="shared" si="33"/>
        <v>9226.7999999999993</v>
      </c>
      <c r="AI32" s="26">
        <f t="shared" si="34"/>
        <v>11933.199999999999</v>
      </c>
      <c r="AJ32" s="26">
        <f t="shared" si="35"/>
        <v>13746.800000000001</v>
      </c>
      <c r="AK32" s="26">
        <f t="shared" si="36"/>
        <v>17786.8</v>
      </c>
      <c r="AL32" s="26">
        <f t="shared" si="37"/>
        <v>8653.2000000000007</v>
      </c>
      <c r="AM32" s="26">
        <f t="shared" si="37"/>
        <v>8653.2000000000007</v>
      </c>
      <c r="AN32" s="26">
        <f t="shared" si="38"/>
        <v>12413.199999999999</v>
      </c>
      <c r="AO32" s="26">
        <f t="shared" si="39"/>
        <v>14053.199999999999</v>
      </c>
      <c r="AP32" s="26">
        <f t="shared" si="40"/>
        <v>16813.2</v>
      </c>
      <c r="AQ32" s="26">
        <f t="shared" si="41"/>
        <v>8946.7999999999993</v>
      </c>
      <c r="AR32" s="26">
        <f t="shared" si="42"/>
        <v>10200</v>
      </c>
      <c r="AS32" s="26">
        <f t="shared" si="43"/>
        <v>13026.800000000001</v>
      </c>
      <c r="AT32" s="26">
        <f t="shared" si="44"/>
        <v>17453.2</v>
      </c>
      <c r="AU32" s="26">
        <f>C32/5280*5500</f>
        <v>2225</v>
      </c>
      <c r="AV32" s="26">
        <f>C32/5280*1661.33</f>
        <v>672.08349999999996</v>
      </c>
      <c r="AW32" s="26">
        <f t="shared" si="45"/>
        <v>442.72</v>
      </c>
    </row>
    <row r="33" spans="1:49" x14ac:dyDescent="0.25">
      <c r="A33" s="190" t="s">
        <v>38</v>
      </c>
      <c r="B33" s="189"/>
      <c r="F33" s="3"/>
      <c r="G33" s="3"/>
      <c r="H33" s="2"/>
      <c r="O33" s="3"/>
      <c r="W33" s="10"/>
      <c r="X33" s="10"/>
      <c r="AD33" s="26"/>
      <c r="AE33" s="10"/>
      <c r="AF33" s="26"/>
      <c r="AU33" s="26"/>
      <c r="AV33" s="26"/>
    </row>
    <row r="34" spans="1:49" ht="15" customHeight="1" x14ac:dyDescent="0.25">
      <c r="A34" s="187"/>
      <c r="B34" t="s">
        <v>48</v>
      </c>
      <c r="C34" s="2">
        <v>3182</v>
      </c>
      <c r="D34" s="1">
        <v>23</v>
      </c>
      <c r="E34" s="1">
        <v>3</v>
      </c>
      <c r="F34" s="3">
        <f t="shared" si="29"/>
        <v>73186</v>
      </c>
      <c r="G34" s="3">
        <f t="shared" si="30"/>
        <v>8131.7777777777774</v>
      </c>
      <c r="H34" s="2">
        <f t="shared" si="31"/>
        <v>677.64814814814804</v>
      </c>
      <c r="I34" s="1">
        <v>110</v>
      </c>
      <c r="J34" s="1">
        <f t="shared" si="7"/>
        <v>1350</v>
      </c>
      <c r="K34" s="1" t="s">
        <v>61</v>
      </c>
      <c r="L34" s="6"/>
      <c r="O34" s="3"/>
      <c r="Q34" s="1">
        <v>1</v>
      </c>
      <c r="S34" s="10">
        <f t="shared" si="0"/>
        <v>216445.50000000003</v>
      </c>
      <c r="W34" s="10">
        <f>G34*10.13</f>
        <v>82374.908888888895</v>
      </c>
      <c r="X34" s="10">
        <f>G34*14.25</f>
        <v>115877.83333333333</v>
      </c>
      <c r="Y34" s="10">
        <f>G34*17.03</f>
        <v>138484.17555555556</v>
      </c>
      <c r="Z34" s="10">
        <f>G34*6.83</f>
        <v>55540.042222222219</v>
      </c>
      <c r="AA34" s="10">
        <f>(C34/5280)*5432</f>
        <v>3273.6030303030302</v>
      </c>
      <c r="AD34" s="26">
        <f t="shared" si="48"/>
        <v>227</v>
      </c>
      <c r="AE34" s="10">
        <v>9333</v>
      </c>
      <c r="AF34" s="26">
        <f t="shared" si="4"/>
        <v>4861.2710370370369</v>
      </c>
      <c r="AG34" s="26">
        <f t="shared" si="32"/>
        <v>8560</v>
      </c>
      <c r="AH34" s="26">
        <f t="shared" si="33"/>
        <v>9226.7999999999993</v>
      </c>
      <c r="AI34" s="26">
        <f t="shared" si="34"/>
        <v>11933.199999999999</v>
      </c>
      <c r="AJ34" s="26">
        <f t="shared" si="35"/>
        <v>13746.800000000001</v>
      </c>
      <c r="AK34" s="26">
        <f t="shared" si="36"/>
        <v>17786.8</v>
      </c>
      <c r="AL34" s="26">
        <f t="shared" si="37"/>
        <v>8653.2000000000007</v>
      </c>
      <c r="AM34" s="26">
        <f t="shared" si="37"/>
        <v>8653.2000000000007</v>
      </c>
      <c r="AN34" s="26">
        <f t="shared" si="38"/>
        <v>12413.199999999999</v>
      </c>
      <c r="AO34" s="26">
        <f t="shared" si="39"/>
        <v>14053.199999999999</v>
      </c>
      <c r="AP34" s="26">
        <f t="shared" si="40"/>
        <v>16813.2</v>
      </c>
      <c r="AQ34" s="26">
        <f t="shared" si="41"/>
        <v>8946.7999999999993</v>
      </c>
      <c r="AR34" s="26">
        <f t="shared" si="42"/>
        <v>10200</v>
      </c>
      <c r="AS34" s="26">
        <f t="shared" si="43"/>
        <v>13026.800000000001</v>
      </c>
      <c r="AT34" s="26">
        <f t="shared" si="44"/>
        <v>17453.2</v>
      </c>
      <c r="AW34" s="26">
        <f t="shared" si="45"/>
        <v>442.72</v>
      </c>
    </row>
    <row r="35" spans="1:49" ht="15" customHeight="1" x14ac:dyDescent="0.25">
      <c r="A35" s="187"/>
      <c r="B35" t="s">
        <v>49</v>
      </c>
      <c r="C35" s="2">
        <v>2750</v>
      </c>
      <c r="D35" s="1">
        <v>18</v>
      </c>
      <c r="E35" s="1">
        <v>3</v>
      </c>
      <c r="F35" s="3">
        <f t="shared" si="29"/>
        <v>49500</v>
      </c>
      <c r="G35" s="3">
        <f t="shared" si="30"/>
        <v>5500</v>
      </c>
      <c r="H35" s="2">
        <f t="shared" si="31"/>
        <v>458.33333333333331</v>
      </c>
      <c r="I35" s="1">
        <v>110</v>
      </c>
      <c r="J35" s="1">
        <f t="shared" si="7"/>
        <v>910</v>
      </c>
      <c r="K35" s="1" t="s">
        <v>60</v>
      </c>
      <c r="L35" s="1">
        <v>133</v>
      </c>
      <c r="M35" s="1">
        <v>5</v>
      </c>
      <c r="N35" s="1">
        <f>L35 * M35</f>
        <v>665</v>
      </c>
      <c r="O35" s="3">
        <f>N35 / 9</f>
        <v>73.888888888888886</v>
      </c>
      <c r="Q35" s="1">
        <v>1</v>
      </c>
      <c r="S35" s="10">
        <f t="shared" si="0"/>
        <v>145900.30000000002</v>
      </c>
      <c r="T35" s="16">
        <f>G35*4</f>
        <v>22000</v>
      </c>
      <c r="U35" s="10">
        <f>O35*176.67</f>
        <v>13053.949999999999</v>
      </c>
      <c r="AB35" s="26">
        <f>(C35*2)*(0.167)/27*171</f>
        <v>5817.166666666667</v>
      </c>
      <c r="AC35" s="26">
        <f>(C35*2)*(0.167)/27*147</f>
        <v>5000.7222222222226</v>
      </c>
      <c r="AD35" s="26">
        <f t="shared" si="48"/>
        <v>227</v>
      </c>
      <c r="AF35" s="26">
        <f t="shared" si="4"/>
        <v>4201.2870370370374</v>
      </c>
      <c r="AG35" s="26">
        <f t="shared" si="32"/>
        <v>8560</v>
      </c>
      <c r="AH35" s="26">
        <f t="shared" si="33"/>
        <v>9226.7999999999993</v>
      </c>
      <c r="AI35" s="26">
        <f t="shared" si="34"/>
        <v>11933.199999999999</v>
      </c>
      <c r="AJ35" s="26">
        <f t="shared" si="35"/>
        <v>13746.800000000001</v>
      </c>
      <c r="AK35" s="26">
        <f t="shared" si="36"/>
        <v>17786.8</v>
      </c>
      <c r="AL35" s="26">
        <f t="shared" si="37"/>
        <v>8653.2000000000007</v>
      </c>
      <c r="AM35" s="26">
        <f t="shared" si="37"/>
        <v>8653.2000000000007</v>
      </c>
      <c r="AN35" s="26">
        <f t="shared" si="38"/>
        <v>12413.199999999999</v>
      </c>
      <c r="AO35" s="26">
        <f t="shared" si="39"/>
        <v>14053.199999999999</v>
      </c>
      <c r="AP35" s="26">
        <f t="shared" si="40"/>
        <v>16813.2</v>
      </c>
      <c r="AQ35" s="26">
        <f t="shared" si="41"/>
        <v>8946.7999999999993</v>
      </c>
      <c r="AR35" s="26">
        <f t="shared" si="42"/>
        <v>10200</v>
      </c>
      <c r="AS35" s="26">
        <f t="shared" si="43"/>
        <v>13026.800000000001</v>
      </c>
      <c r="AT35" s="26">
        <f t="shared" si="44"/>
        <v>17453.2</v>
      </c>
      <c r="AW35" s="26">
        <f t="shared" si="45"/>
        <v>442.72</v>
      </c>
    </row>
    <row r="36" spans="1:49" x14ac:dyDescent="0.25">
      <c r="A36" s="187"/>
      <c r="B36" t="s">
        <v>50</v>
      </c>
      <c r="C36" s="2">
        <v>2359</v>
      </c>
      <c r="D36" s="1">
        <v>22.5</v>
      </c>
      <c r="E36" s="1">
        <v>3</v>
      </c>
      <c r="F36" s="3">
        <f t="shared" si="29"/>
        <v>53077.5</v>
      </c>
      <c r="G36" s="3">
        <f t="shared" si="30"/>
        <v>5897.5</v>
      </c>
      <c r="H36" s="2">
        <f t="shared" si="31"/>
        <v>491.45833333333331</v>
      </c>
      <c r="I36" s="1">
        <v>110</v>
      </c>
      <c r="J36" s="1">
        <f t="shared" si="7"/>
        <v>980</v>
      </c>
      <c r="K36" s="1" t="s">
        <v>60</v>
      </c>
      <c r="L36" s="1">
        <v>32</v>
      </c>
      <c r="M36" s="1">
        <v>5</v>
      </c>
      <c r="N36" s="1">
        <f>L36 * M36</f>
        <v>160</v>
      </c>
      <c r="O36" s="3">
        <f>N36 / 9</f>
        <v>17.777777777777779</v>
      </c>
      <c r="Q36" s="1">
        <v>1</v>
      </c>
      <c r="S36" s="10">
        <f t="shared" si="0"/>
        <v>157123.40000000002</v>
      </c>
      <c r="T36" s="16">
        <f>G36*4</f>
        <v>23590</v>
      </c>
      <c r="U36" s="10">
        <f>O36*176.67</f>
        <v>3140.7999999999997</v>
      </c>
      <c r="AD36" s="26">
        <f>Q36*227</f>
        <v>227</v>
      </c>
      <c r="AF36" s="26">
        <f t="shared" si="4"/>
        <v>3603.9404074074077</v>
      </c>
      <c r="AG36" s="26">
        <f>40*214</f>
        <v>8560</v>
      </c>
      <c r="AH36" s="26">
        <f>40*230.67</f>
        <v>9226.7999999999993</v>
      </c>
      <c r="AI36" s="26">
        <f>40*298.33</f>
        <v>11933.199999999999</v>
      </c>
      <c r="AJ36" s="26">
        <f>40*343.67</f>
        <v>13746.800000000001</v>
      </c>
      <c r="AK36" s="26">
        <f>40*444.67</f>
        <v>17786.8</v>
      </c>
      <c r="AL36" s="26">
        <f>40*216.33</f>
        <v>8653.2000000000007</v>
      </c>
      <c r="AM36" s="26">
        <f>40*216.33</f>
        <v>8653.2000000000007</v>
      </c>
      <c r="AN36" s="26">
        <f>40*310.33</f>
        <v>12413.199999999999</v>
      </c>
      <c r="AO36" s="26">
        <f>40*351.33</f>
        <v>14053.199999999999</v>
      </c>
      <c r="AP36" s="26">
        <f>40*420.33</f>
        <v>16813.2</v>
      </c>
      <c r="AQ36" s="26">
        <f>40*223.67</f>
        <v>8946.7999999999993</v>
      </c>
      <c r="AR36" s="26">
        <f>40*255</f>
        <v>10200</v>
      </c>
      <c r="AS36" s="26">
        <f>40*325.67</f>
        <v>13026.800000000001</v>
      </c>
      <c r="AT36" s="26">
        <f>40*436.33</f>
        <v>17453.2</v>
      </c>
      <c r="AW36" s="26">
        <f>16*27.67</f>
        <v>442.72</v>
      </c>
    </row>
    <row r="37" spans="1:49" x14ac:dyDescent="0.25">
      <c r="A37" s="187"/>
      <c r="B37" t="s">
        <v>51</v>
      </c>
      <c r="F37" s="3"/>
      <c r="G37" s="3"/>
      <c r="H37" s="2"/>
      <c r="L37" s="1">
        <v>36</v>
      </c>
      <c r="M37" s="1">
        <v>4</v>
      </c>
      <c r="N37" s="1">
        <f>L37 * M37</f>
        <v>144</v>
      </c>
      <c r="O37" s="3">
        <f>N37 / 9</f>
        <v>16</v>
      </c>
      <c r="S37" s="10">
        <f t="shared" si="0"/>
        <v>0</v>
      </c>
      <c r="T37" s="16">
        <f>G37*4</f>
        <v>0</v>
      </c>
      <c r="U37" s="10">
        <f>O37*176.67</f>
        <v>2826.72</v>
      </c>
      <c r="AF37" s="26">
        <f t="shared" si="4"/>
        <v>0</v>
      </c>
      <c r="AG37"/>
      <c r="AH37"/>
      <c r="AI37"/>
      <c r="AJ37"/>
      <c r="AK37"/>
      <c r="AL37"/>
      <c r="AM37"/>
      <c r="AN37"/>
      <c r="AO37"/>
      <c r="AP37"/>
      <c r="AW37"/>
    </row>
    <row r="38" spans="1:49" x14ac:dyDescent="0.25">
      <c r="A38" s="187"/>
      <c r="B38" t="s">
        <v>52</v>
      </c>
      <c r="C38" s="2">
        <v>839</v>
      </c>
      <c r="D38" s="1">
        <v>22.5</v>
      </c>
      <c r="E38" s="1">
        <v>3</v>
      </c>
      <c r="F38" s="3">
        <f t="shared" si="29"/>
        <v>18877.5</v>
      </c>
      <c r="G38" s="3">
        <f t="shared" si="30"/>
        <v>2097.5</v>
      </c>
      <c r="H38" s="2">
        <f t="shared" si="31"/>
        <v>174.79166666666666</v>
      </c>
      <c r="I38" s="1">
        <v>110</v>
      </c>
      <c r="J38" s="1">
        <f t="shared" si="7"/>
        <v>350</v>
      </c>
      <c r="K38" s="1" t="s">
        <v>60</v>
      </c>
      <c r="O38" s="3"/>
      <c r="Q38" s="1">
        <v>1</v>
      </c>
      <c r="S38" s="10">
        <f t="shared" si="0"/>
        <v>56115.500000000007</v>
      </c>
      <c r="T38" s="16">
        <f t="shared" ref="T38:T60" si="49">G38*4</f>
        <v>8390</v>
      </c>
      <c r="U38" s="10">
        <f t="shared" ref="U38:U60" si="50">O38*176.67</f>
        <v>0</v>
      </c>
      <c r="AD38" s="26">
        <f t="shared" ref="AD38:AD42" si="51">Q38*227</f>
        <v>227</v>
      </c>
      <c r="AF38" s="26">
        <f t="shared" si="4"/>
        <v>1281.7744814814814</v>
      </c>
      <c r="AG38" s="26">
        <f t="shared" ref="AG38:AG42" si="52">40*214</f>
        <v>8560</v>
      </c>
      <c r="AH38" s="26">
        <f t="shared" ref="AH38:AH42" si="53">40*230.67</f>
        <v>9226.7999999999993</v>
      </c>
      <c r="AI38" s="26">
        <f t="shared" ref="AI38:AI42" si="54">40*298.33</f>
        <v>11933.199999999999</v>
      </c>
      <c r="AJ38" s="26">
        <f t="shared" ref="AJ38:AJ42" si="55">40*343.67</f>
        <v>13746.800000000001</v>
      </c>
      <c r="AK38" s="26">
        <f t="shared" ref="AK38:AK42" si="56">40*444.67</f>
        <v>17786.8</v>
      </c>
      <c r="AL38" s="26">
        <f t="shared" ref="AL38:AM42" si="57">40*216.33</f>
        <v>8653.2000000000007</v>
      </c>
      <c r="AM38" s="26">
        <f t="shared" si="57"/>
        <v>8653.2000000000007</v>
      </c>
      <c r="AN38" s="26">
        <f t="shared" ref="AN38:AN42" si="58">40*310.33</f>
        <v>12413.199999999999</v>
      </c>
      <c r="AO38" s="26">
        <f t="shared" ref="AO38:AO42" si="59">40*351.33</f>
        <v>14053.199999999999</v>
      </c>
      <c r="AP38" s="26">
        <f t="shared" ref="AP38:AP42" si="60">40*420.33</f>
        <v>16813.2</v>
      </c>
      <c r="AQ38" s="26">
        <f t="shared" ref="AQ38:AQ42" si="61">40*223.67</f>
        <v>8946.7999999999993</v>
      </c>
      <c r="AR38" s="26">
        <f t="shared" ref="AR38:AR42" si="62">40*255</f>
        <v>10200</v>
      </c>
      <c r="AS38" s="26">
        <f t="shared" ref="AS38:AS42" si="63">40*325.67</f>
        <v>13026.800000000001</v>
      </c>
      <c r="AT38" s="26">
        <f t="shared" ref="AT38:AT42" si="64">40*436.33</f>
        <v>17453.2</v>
      </c>
      <c r="AW38" s="26">
        <f t="shared" ref="AW38:AW42" si="65">16*27.67</f>
        <v>442.72</v>
      </c>
    </row>
    <row r="39" spans="1:49" x14ac:dyDescent="0.25">
      <c r="A39" s="187"/>
      <c r="B39" t="s">
        <v>53</v>
      </c>
      <c r="C39" s="2">
        <v>2658</v>
      </c>
      <c r="D39" s="1">
        <v>22.5</v>
      </c>
      <c r="E39" s="1">
        <v>3</v>
      </c>
      <c r="F39" s="3">
        <f t="shared" si="29"/>
        <v>59805</v>
      </c>
      <c r="G39" s="3">
        <f t="shared" si="30"/>
        <v>6645</v>
      </c>
      <c r="H39" s="2">
        <f t="shared" si="31"/>
        <v>553.75</v>
      </c>
      <c r="I39" s="1">
        <v>110</v>
      </c>
      <c r="J39" s="1">
        <f t="shared" si="7"/>
        <v>1100</v>
      </c>
      <c r="K39" s="1" t="s">
        <v>60</v>
      </c>
      <c r="O39" s="3"/>
      <c r="Q39" s="1">
        <v>1</v>
      </c>
      <c r="S39" s="10">
        <f t="shared" si="0"/>
        <v>176363</v>
      </c>
      <c r="T39" s="16">
        <f t="shared" si="49"/>
        <v>26580</v>
      </c>
      <c r="U39" s="10">
        <f t="shared" si="50"/>
        <v>0</v>
      </c>
      <c r="AD39" s="26">
        <f t="shared" si="51"/>
        <v>227</v>
      </c>
      <c r="AF39" s="26">
        <f t="shared" si="4"/>
        <v>4060.7348888888887</v>
      </c>
      <c r="AG39" s="26">
        <f t="shared" si="52"/>
        <v>8560</v>
      </c>
      <c r="AH39" s="26">
        <f t="shared" si="53"/>
        <v>9226.7999999999993</v>
      </c>
      <c r="AI39" s="26">
        <f t="shared" si="54"/>
        <v>11933.199999999999</v>
      </c>
      <c r="AJ39" s="26">
        <f t="shared" si="55"/>
        <v>13746.800000000001</v>
      </c>
      <c r="AK39" s="26">
        <f t="shared" si="56"/>
        <v>17786.8</v>
      </c>
      <c r="AL39" s="26">
        <f t="shared" si="57"/>
        <v>8653.2000000000007</v>
      </c>
      <c r="AM39" s="26">
        <f t="shared" si="57"/>
        <v>8653.2000000000007</v>
      </c>
      <c r="AN39" s="26">
        <f t="shared" si="58"/>
        <v>12413.199999999999</v>
      </c>
      <c r="AO39" s="26">
        <f t="shared" si="59"/>
        <v>14053.199999999999</v>
      </c>
      <c r="AP39" s="26">
        <f t="shared" si="60"/>
        <v>16813.2</v>
      </c>
      <c r="AQ39" s="26">
        <f t="shared" si="61"/>
        <v>8946.7999999999993</v>
      </c>
      <c r="AR39" s="26">
        <f t="shared" si="62"/>
        <v>10200</v>
      </c>
      <c r="AS39" s="26">
        <f t="shared" si="63"/>
        <v>13026.800000000001</v>
      </c>
      <c r="AT39" s="26">
        <f t="shared" si="64"/>
        <v>17453.2</v>
      </c>
      <c r="AW39" s="26">
        <f t="shared" si="65"/>
        <v>442.72</v>
      </c>
    </row>
    <row r="40" spans="1:49" x14ac:dyDescent="0.25">
      <c r="A40" s="187"/>
      <c r="B40" t="s">
        <v>54</v>
      </c>
      <c r="C40" s="2">
        <v>874</v>
      </c>
      <c r="D40" s="1">
        <v>22.5</v>
      </c>
      <c r="E40" s="1">
        <v>3</v>
      </c>
      <c r="F40" s="3">
        <f t="shared" si="29"/>
        <v>19665</v>
      </c>
      <c r="G40" s="3">
        <f t="shared" si="30"/>
        <v>2185</v>
      </c>
      <c r="H40" s="2">
        <f t="shared" si="31"/>
        <v>182.08333333333331</v>
      </c>
      <c r="I40" s="1">
        <v>110</v>
      </c>
      <c r="J40" s="1">
        <f t="shared" si="7"/>
        <v>370</v>
      </c>
      <c r="K40" s="1" t="s">
        <v>60</v>
      </c>
      <c r="O40" s="3"/>
      <c r="Q40" s="1">
        <v>1</v>
      </c>
      <c r="S40" s="10">
        <f t="shared" si="0"/>
        <v>59322.100000000006</v>
      </c>
      <c r="T40" s="16">
        <f t="shared" si="49"/>
        <v>8740</v>
      </c>
      <c r="U40" s="10">
        <f t="shared" si="50"/>
        <v>0</v>
      </c>
      <c r="AD40" s="26">
        <f t="shared" si="51"/>
        <v>227</v>
      </c>
      <c r="AF40" s="26">
        <f t="shared" si="4"/>
        <v>1335.2454074074074</v>
      </c>
      <c r="AG40" s="26">
        <f t="shared" si="52"/>
        <v>8560</v>
      </c>
      <c r="AH40" s="26">
        <f t="shared" si="53"/>
        <v>9226.7999999999993</v>
      </c>
      <c r="AI40" s="26">
        <f t="shared" si="54"/>
        <v>11933.199999999999</v>
      </c>
      <c r="AJ40" s="26">
        <f t="shared" si="55"/>
        <v>13746.800000000001</v>
      </c>
      <c r="AK40" s="26">
        <f t="shared" si="56"/>
        <v>17786.8</v>
      </c>
      <c r="AL40" s="26">
        <f t="shared" si="57"/>
        <v>8653.2000000000007</v>
      </c>
      <c r="AM40" s="26">
        <f t="shared" si="57"/>
        <v>8653.2000000000007</v>
      </c>
      <c r="AN40" s="26">
        <f t="shared" si="58"/>
        <v>12413.199999999999</v>
      </c>
      <c r="AO40" s="26">
        <f t="shared" si="59"/>
        <v>14053.199999999999</v>
      </c>
      <c r="AP40" s="26">
        <f t="shared" si="60"/>
        <v>16813.2</v>
      </c>
      <c r="AQ40" s="26">
        <f t="shared" si="61"/>
        <v>8946.7999999999993</v>
      </c>
      <c r="AR40" s="26">
        <f t="shared" si="62"/>
        <v>10200</v>
      </c>
      <c r="AS40" s="26">
        <f t="shared" si="63"/>
        <v>13026.800000000001</v>
      </c>
      <c r="AT40" s="26">
        <f t="shared" si="64"/>
        <v>17453.2</v>
      </c>
      <c r="AW40" s="26">
        <f t="shared" si="65"/>
        <v>442.72</v>
      </c>
    </row>
    <row r="41" spans="1:49" x14ac:dyDescent="0.25">
      <c r="A41" s="187"/>
      <c r="B41" t="s">
        <v>62</v>
      </c>
      <c r="C41" s="2">
        <v>575</v>
      </c>
      <c r="D41" s="1">
        <v>22.5</v>
      </c>
      <c r="E41" s="1">
        <v>3</v>
      </c>
      <c r="F41" s="3">
        <f t="shared" si="29"/>
        <v>12937.5</v>
      </c>
      <c r="G41" s="3">
        <f t="shared" si="30"/>
        <v>1437.5</v>
      </c>
      <c r="H41" s="2">
        <f t="shared" si="31"/>
        <v>119.79166666666666</v>
      </c>
      <c r="I41" s="1">
        <v>110</v>
      </c>
      <c r="J41" s="1">
        <f t="shared" si="7"/>
        <v>240</v>
      </c>
      <c r="K41" s="1" t="s">
        <v>60</v>
      </c>
      <c r="O41" s="3"/>
      <c r="Q41" s="1">
        <v>1</v>
      </c>
      <c r="S41" s="10">
        <f t="shared" si="0"/>
        <v>38479.200000000004</v>
      </c>
      <c r="T41" s="16">
        <f t="shared" si="49"/>
        <v>5750</v>
      </c>
      <c r="U41" s="10">
        <f t="shared" si="50"/>
        <v>0</v>
      </c>
      <c r="AD41" s="26">
        <f t="shared" si="51"/>
        <v>227</v>
      </c>
      <c r="AF41" s="26">
        <f t="shared" si="4"/>
        <v>878.45092592592596</v>
      </c>
      <c r="AG41" s="26">
        <f t="shared" si="52"/>
        <v>8560</v>
      </c>
      <c r="AH41" s="26">
        <f t="shared" si="53"/>
        <v>9226.7999999999993</v>
      </c>
      <c r="AI41" s="26">
        <f t="shared" si="54"/>
        <v>11933.199999999999</v>
      </c>
      <c r="AJ41" s="26">
        <f t="shared" si="55"/>
        <v>13746.800000000001</v>
      </c>
      <c r="AK41" s="26">
        <f t="shared" si="56"/>
        <v>17786.8</v>
      </c>
      <c r="AL41" s="26">
        <f t="shared" si="57"/>
        <v>8653.2000000000007</v>
      </c>
      <c r="AM41" s="26">
        <f t="shared" si="57"/>
        <v>8653.2000000000007</v>
      </c>
      <c r="AN41" s="26">
        <f t="shared" si="58"/>
        <v>12413.199999999999</v>
      </c>
      <c r="AO41" s="26">
        <f t="shared" si="59"/>
        <v>14053.199999999999</v>
      </c>
      <c r="AP41" s="26">
        <f t="shared" si="60"/>
        <v>16813.2</v>
      </c>
      <c r="AQ41" s="26">
        <f t="shared" si="61"/>
        <v>8946.7999999999993</v>
      </c>
      <c r="AR41" s="26">
        <f t="shared" si="62"/>
        <v>10200</v>
      </c>
      <c r="AS41" s="26">
        <f t="shared" si="63"/>
        <v>13026.800000000001</v>
      </c>
      <c r="AT41" s="26">
        <f t="shared" si="64"/>
        <v>17453.2</v>
      </c>
      <c r="AW41" s="26">
        <f t="shared" si="65"/>
        <v>442.72</v>
      </c>
    </row>
    <row r="42" spans="1:49" x14ac:dyDescent="0.25">
      <c r="A42" s="187"/>
      <c r="B42" t="s">
        <v>113</v>
      </c>
      <c r="C42" s="2">
        <v>410</v>
      </c>
      <c r="D42" s="1">
        <v>23</v>
      </c>
      <c r="E42" s="1">
        <v>3</v>
      </c>
      <c r="F42" s="3">
        <f t="shared" si="29"/>
        <v>9430</v>
      </c>
      <c r="G42" s="3">
        <f t="shared" si="30"/>
        <v>1047.7777777777778</v>
      </c>
      <c r="H42" s="2">
        <f t="shared" si="31"/>
        <v>87.31481481481481</v>
      </c>
      <c r="I42" s="1">
        <v>110</v>
      </c>
      <c r="J42" s="1">
        <f t="shared" si="7"/>
        <v>180</v>
      </c>
      <c r="K42" s="1" t="s">
        <v>60</v>
      </c>
      <c r="O42" s="3"/>
      <c r="Q42" s="1">
        <v>1</v>
      </c>
      <c r="S42" s="10">
        <f t="shared" si="0"/>
        <v>28859.4</v>
      </c>
      <c r="T42" s="16">
        <f t="shared" si="49"/>
        <v>4191.1111111111113</v>
      </c>
      <c r="U42" s="10">
        <f t="shared" si="50"/>
        <v>0</v>
      </c>
      <c r="AD42" s="26">
        <f t="shared" si="51"/>
        <v>227</v>
      </c>
      <c r="AF42" s="26">
        <f t="shared" si="4"/>
        <v>626.37370370370365</v>
      </c>
      <c r="AG42" s="26">
        <f t="shared" si="52"/>
        <v>8560</v>
      </c>
      <c r="AH42" s="26">
        <f t="shared" si="53"/>
        <v>9226.7999999999993</v>
      </c>
      <c r="AI42" s="26">
        <f t="shared" si="54"/>
        <v>11933.199999999999</v>
      </c>
      <c r="AJ42" s="26">
        <f t="shared" si="55"/>
        <v>13746.800000000001</v>
      </c>
      <c r="AK42" s="26">
        <f t="shared" si="56"/>
        <v>17786.8</v>
      </c>
      <c r="AL42" s="26">
        <f t="shared" si="57"/>
        <v>8653.2000000000007</v>
      </c>
      <c r="AM42" s="26">
        <f t="shared" si="57"/>
        <v>8653.2000000000007</v>
      </c>
      <c r="AN42" s="26">
        <f t="shared" si="58"/>
        <v>12413.199999999999</v>
      </c>
      <c r="AO42" s="26">
        <f t="shared" si="59"/>
        <v>14053.199999999999</v>
      </c>
      <c r="AP42" s="26">
        <f t="shared" si="60"/>
        <v>16813.2</v>
      </c>
      <c r="AQ42" s="26">
        <f t="shared" si="61"/>
        <v>8946.7999999999993</v>
      </c>
      <c r="AR42" s="26">
        <f t="shared" si="62"/>
        <v>10200</v>
      </c>
      <c r="AS42" s="26">
        <f t="shared" si="63"/>
        <v>13026.800000000001</v>
      </c>
      <c r="AT42" s="26">
        <f t="shared" si="64"/>
        <v>17453.2</v>
      </c>
      <c r="AW42" s="26">
        <f t="shared" si="65"/>
        <v>442.72</v>
      </c>
    </row>
    <row r="43" spans="1:49" x14ac:dyDescent="0.25">
      <c r="A43" s="187"/>
      <c r="B43" t="s">
        <v>63</v>
      </c>
      <c r="F43" s="3"/>
      <c r="G43" s="3"/>
      <c r="H43" s="2"/>
      <c r="L43" s="1">
        <v>78</v>
      </c>
      <c r="M43" s="1">
        <v>20</v>
      </c>
      <c r="N43" s="1">
        <f>L43 * M43</f>
        <v>1560</v>
      </c>
      <c r="O43" s="3">
        <f>N43 / 9</f>
        <v>173.33333333333334</v>
      </c>
      <c r="S43" s="10">
        <f t="shared" si="0"/>
        <v>0</v>
      </c>
      <c r="T43" s="16">
        <f t="shared" si="49"/>
        <v>0</v>
      </c>
      <c r="U43" s="10">
        <f t="shared" si="50"/>
        <v>30622.799999999999</v>
      </c>
      <c r="AF43" s="26">
        <f t="shared" si="4"/>
        <v>0</v>
      </c>
      <c r="AG43"/>
      <c r="AH43"/>
      <c r="AI43"/>
      <c r="AJ43"/>
      <c r="AK43"/>
      <c r="AL43"/>
      <c r="AM43"/>
      <c r="AN43"/>
      <c r="AO43"/>
      <c r="AP43"/>
      <c r="AW43"/>
    </row>
    <row r="44" spans="1:49" x14ac:dyDescent="0.25">
      <c r="A44" s="187"/>
      <c r="B44" t="s">
        <v>64</v>
      </c>
      <c r="C44" s="2">
        <v>322</v>
      </c>
      <c r="D44" s="1">
        <v>23</v>
      </c>
      <c r="E44" s="1">
        <v>3</v>
      </c>
      <c r="F44" s="3">
        <f t="shared" si="29"/>
        <v>7406</v>
      </c>
      <c r="G44" s="3">
        <f t="shared" si="30"/>
        <v>822.88888888888891</v>
      </c>
      <c r="H44" s="2">
        <f t="shared" si="31"/>
        <v>68.574074074074076</v>
      </c>
      <c r="I44" s="1">
        <v>110</v>
      </c>
      <c r="J44" s="1">
        <f t="shared" si="7"/>
        <v>140</v>
      </c>
      <c r="K44" s="1" t="s">
        <v>60</v>
      </c>
      <c r="L44" s="1">
        <v>23</v>
      </c>
      <c r="M44" s="1">
        <v>45</v>
      </c>
      <c r="N44" s="1">
        <f>L44 * M44</f>
        <v>1035</v>
      </c>
      <c r="O44" s="3">
        <f>N44 / 9</f>
        <v>115</v>
      </c>
      <c r="Q44" s="1">
        <v>1</v>
      </c>
      <c r="S44" s="10">
        <f t="shared" si="0"/>
        <v>22446.2</v>
      </c>
      <c r="T44" s="16">
        <f t="shared" si="49"/>
        <v>3291.5555555555557</v>
      </c>
      <c r="U44" s="10">
        <f t="shared" si="50"/>
        <v>20317.05</v>
      </c>
      <c r="AD44" s="26">
        <f t="shared" ref="AD44:AD46" si="66">Q44*227</f>
        <v>227</v>
      </c>
      <c r="AF44" s="26">
        <f t="shared" si="4"/>
        <v>491.93251851851852</v>
      </c>
      <c r="AG44" s="26">
        <f t="shared" ref="AG44:AG46" si="67">40*214</f>
        <v>8560</v>
      </c>
      <c r="AH44" s="26">
        <f t="shared" ref="AH44:AH46" si="68">40*230.67</f>
        <v>9226.7999999999993</v>
      </c>
      <c r="AI44" s="26">
        <f t="shared" ref="AI44:AI46" si="69">40*298.33</f>
        <v>11933.199999999999</v>
      </c>
      <c r="AJ44" s="26">
        <f t="shared" ref="AJ44:AJ46" si="70">40*343.67</f>
        <v>13746.800000000001</v>
      </c>
      <c r="AK44" s="26">
        <f t="shared" ref="AK44:AK46" si="71">40*444.67</f>
        <v>17786.8</v>
      </c>
      <c r="AL44" s="26">
        <f t="shared" ref="AL44:AM46" si="72">40*216.33</f>
        <v>8653.2000000000007</v>
      </c>
      <c r="AM44" s="26">
        <f t="shared" si="72"/>
        <v>8653.2000000000007</v>
      </c>
      <c r="AN44" s="26">
        <f t="shared" ref="AN44:AN46" si="73">40*310.33</f>
        <v>12413.199999999999</v>
      </c>
      <c r="AO44" s="26">
        <f t="shared" ref="AO44:AO46" si="74">40*351.33</f>
        <v>14053.199999999999</v>
      </c>
      <c r="AP44" s="26">
        <f t="shared" ref="AP44:AP46" si="75">40*420.33</f>
        <v>16813.2</v>
      </c>
      <c r="AQ44" s="26">
        <f t="shared" ref="AQ44:AQ46" si="76">40*223.67</f>
        <v>8946.7999999999993</v>
      </c>
      <c r="AR44" s="26">
        <f t="shared" ref="AR44:AR46" si="77">40*255</f>
        <v>10200</v>
      </c>
      <c r="AS44" s="26">
        <f t="shared" ref="AS44:AS46" si="78">40*325.67</f>
        <v>13026.800000000001</v>
      </c>
      <c r="AT44" s="26">
        <f t="shared" ref="AT44:AT46" si="79">40*436.33</f>
        <v>17453.2</v>
      </c>
      <c r="AW44" s="26">
        <f t="shared" ref="AW44:AW46" si="80">16*27.67</f>
        <v>442.72</v>
      </c>
    </row>
    <row r="45" spans="1:49" x14ac:dyDescent="0.25">
      <c r="A45" s="187"/>
      <c r="B45" t="s">
        <v>65</v>
      </c>
      <c r="C45" s="2">
        <v>565</v>
      </c>
      <c r="D45" s="1">
        <v>23</v>
      </c>
      <c r="E45" s="1">
        <v>3</v>
      </c>
      <c r="F45" s="3">
        <f t="shared" si="29"/>
        <v>12995</v>
      </c>
      <c r="G45" s="3">
        <f t="shared" si="30"/>
        <v>1443.8888888888889</v>
      </c>
      <c r="H45" s="2">
        <f t="shared" si="31"/>
        <v>120.32407407407408</v>
      </c>
      <c r="I45" s="1">
        <v>110</v>
      </c>
      <c r="J45" s="1">
        <f t="shared" si="7"/>
        <v>240</v>
      </c>
      <c r="K45" s="1" t="s">
        <v>60</v>
      </c>
      <c r="O45" s="3"/>
      <c r="Q45" s="1">
        <v>1</v>
      </c>
      <c r="S45" s="10">
        <f t="shared" si="0"/>
        <v>38479.200000000004</v>
      </c>
      <c r="T45" s="16">
        <f t="shared" si="49"/>
        <v>5775.5555555555557</v>
      </c>
      <c r="U45" s="10">
        <f t="shared" si="50"/>
        <v>0</v>
      </c>
      <c r="AD45" s="26">
        <f t="shared" si="66"/>
        <v>227</v>
      </c>
      <c r="AF45" s="26">
        <f t="shared" si="4"/>
        <v>863.17351851851856</v>
      </c>
      <c r="AG45" s="26">
        <f t="shared" si="67"/>
        <v>8560</v>
      </c>
      <c r="AH45" s="26">
        <f t="shared" si="68"/>
        <v>9226.7999999999993</v>
      </c>
      <c r="AI45" s="26">
        <f t="shared" si="69"/>
        <v>11933.199999999999</v>
      </c>
      <c r="AJ45" s="26">
        <f t="shared" si="70"/>
        <v>13746.800000000001</v>
      </c>
      <c r="AK45" s="26">
        <f t="shared" si="71"/>
        <v>17786.8</v>
      </c>
      <c r="AL45" s="26">
        <f t="shared" si="72"/>
        <v>8653.2000000000007</v>
      </c>
      <c r="AM45" s="26">
        <f t="shared" si="72"/>
        <v>8653.2000000000007</v>
      </c>
      <c r="AN45" s="26">
        <f t="shared" si="73"/>
        <v>12413.199999999999</v>
      </c>
      <c r="AO45" s="26">
        <f t="shared" si="74"/>
        <v>14053.199999999999</v>
      </c>
      <c r="AP45" s="26">
        <f t="shared" si="75"/>
        <v>16813.2</v>
      </c>
      <c r="AQ45" s="26">
        <f t="shared" si="76"/>
        <v>8946.7999999999993</v>
      </c>
      <c r="AR45" s="26">
        <f t="shared" si="77"/>
        <v>10200</v>
      </c>
      <c r="AS45" s="26">
        <f t="shared" si="78"/>
        <v>13026.800000000001</v>
      </c>
      <c r="AT45" s="26">
        <f t="shared" si="79"/>
        <v>17453.2</v>
      </c>
      <c r="AW45" s="26">
        <f t="shared" si="80"/>
        <v>442.72</v>
      </c>
    </row>
    <row r="46" spans="1:49" x14ac:dyDescent="0.25">
      <c r="A46" s="187"/>
      <c r="B46" t="s">
        <v>66</v>
      </c>
      <c r="C46" s="2">
        <v>669</v>
      </c>
      <c r="D46" s="1">
        <v>23</v>
      </c>
      <c r="E46" s="1">
        <v>3</v>
      </c>
      <c r="F46" s="3">
        <f t="shared" si="29"/>
        <v>15387</v>
      </c>
      <c r="G46" s="3">
        <f t="shared" si="30"/>
        <v>1709.6666666666667</v>
      </c>
      <c r="H46" s="2">
        <f t="shared" si="31"/>
        <v>142.47222222222223</v>
      </c>
      <c r="I46" s="1">
        <v>110</v>
      </c>
      <c r="J46" s="1">
        <f t="shared" si="7"/>
        <v>290</v>
      </c>
      <c r="K46" s="1" t="s">
        <v>60</v>
      </c>
      <c r="O46" s="3"/>
      <c r="Q46" s="1">
        <v>1</v>
      </c>
      <c r="S46" s="10">
        <f t="shared" si="0"/>
        <v>46495.700000000004</v>
      </c>
      <c r="T46" s="16">
        <f t="shared" si="49"/>
        <v>6838.666666666667</v>
      </c>
      <c r="U46" s="10">
        <f t="shared" si="50"/>
        <v>0</v>
      </c>
      <c r="AB46" s="26">
        <f>(368*2)*(0.167)/27*171</f>
        <v>778.44266666666681</v>
      </c>
      <c r="AC46" s="26">
        <f>(368*2)*(0.167)/27*147</f>
        <v>669.1875555555556</v>
      </c>
      <c r="AD46" s="26">
        <f t="shared" si="66"/>
        <v>227</v>
      </c>
      <c r="AF46" s="26">
        <f t="shared" si="4"/>
        <v>1022.0585555555556</v>
      </c>
      <c r="AG46" s="26">
        <f t="shared" si="67"/>
        <v>8560</v>
      </c>
      <c r="AH46" s="26">
        <f t="shared" si="68"/>
        <v>9226.7999999999993</v>
      </c>
      <c r="AI46" s="26">
        <f t="shared" si="69"/>
        <v>11933.199999999999</v>
      </c>
      <c r="AJ46" s="26">
        <f t="shared" si="70"/>
        <v>13746.800000000001</v>
      </c>
      <c r="AK46" s="26">
        <f t="shared" si="71"/>
        <v>17786.8</v>
      </c>
      <c r="AL46" s="26">
        <f t="shared" si="72"/>
        <v>8653.2000000000007</v>
      </c>
      <c r="AM46" s="26">
        <f t="shared" si="72"/>
        <v>8653.2000000000007</v>
      </c>
      <c r="AN46" s="26">
        <f t="shared" si="73"/>
        <v>12413.199999999999</v>
      </c>
      <c r="AO46" s="26">
        <f t="shared" si="74"/>
        <v>14053.199999999999</v>
      </c>
      <c r="AP46" s="26">
        <f t="shared" si="75"/>
        <v>16813.2</v>
      </c>
      <c r="AQ46" s="26">
        <f t="shared" si="76"/>
        <v>8946.7999999999993</v>
      </c>
      <c r="AR46" s="26">
        <f t="shared" si="77"/>
        <v>10200</v>
      </c>
      <c r="AS46" s="26">
        <f t="shared" si="78"/>
        <v>13026.800000000001</v>
      </c>
      <c r="AT46" s="26">
        <f t="shared" si="79"/>
        <v>17453.2</v>
      </c>
      <c r="AW46" s="26">
        <f t="shared" si="80"/>
        <v>442.72</v>
      </c>
    </row>
    <row r="47" spans="1:49" x14ac:dyDescent="0.25">
      <c r="A47" s="187"/>
      <c r="B47" t="s">
        <v>67</v>
      </c>
      <c r="F47" s="3"/>
      <c r="G47" s="3"/>
      <c r="H47" s="2"/>
      <c r="L47" s="1">
        <v>13</v>
      </c>
      <c r="M47" s="1">
        <v>10</v>
      </c>
      <c r="N47" s="1">
        <f>L47 * M47</f>
        <v>130</v>
      </c>
      <c r="O47" s="3">
        <f>N47 / 9</f>
        <v>14.444444444444445</v>
      </c>
      <c r="S47" s="10">
        <f t="shared" si="0"/>
        <v>0</v>
      </c>
      <c r="T47" s="16">
        <f t="shared" si="49"/>
        <v>0</v>
      </c>
      <c r="U47" s="10">
        <f t="shared" si="50"/>
        <v>2551.8999999999996</v>
      </c>
      <c r="AF47" s="26">
        <f t="shared" si="4"/>
        <v>0</v>
      </c>
      <c r="AG47"/>
      <c r="AH47"/>
      <c r="AI47"/>
      <c r="AJ47"/>
      <c r="AK47"/>
      <c r="AL47"/>
      <c r="AM47"/>
      <c r="AN47"/>
      <c r="AO47"/>
      <c r="AP47"/>
      <c r="AW47"/>
    </row>
    <row r="48" spans="1:49" x14ac:dyDescent="0.25">
      <c r="A48" s="187"/>
      <c r="B48" t="s">
        <v>68</v>
      </c>
      <c r="C48" s="2">
        <v>1366</v>
      </c>
      <c r="D48" s="1">
        <v>20</v>
      </c>
      <c r="E48" s="1">
        <v>3</v>
      </c>
      <c r="F48" s="3">
        <f t="shared" si="29"/>
        <v>27320</v>
      </c>
      <c r="G48" s="3">
        <f t="shared" si="30"/>
        <v>3035.5555555555557</v>
      </c>
      <c r="H48" s="2">
        <f t="shared" si="31"/>
        <v>252.96296296296296</v>
      </c>
      <c r="I48" s="1">
        <v>110</v>
      </c>
      <c r="J48" s="1">
        <f t="shared" si="7"/>
        <v>510</v>
      </c>
      <c r="K48" s="1" t="s">
        <v>60</v>
      </c>
      <c r="O48" s="3"/>
      <c r="Q48" s="1">
        <v>1</v>
      </c>
      <c r="S48" s="10">
        <f t="shared" si="0"/>
        <v>81768.3</v>
      </c>
      <c r="T48" s="16">
        <f t="shared" si="49"/>
        <v>12142.222222222223</v>
      </c>
      <c r="U48" s="10">
        <f t="shared" si="50"/>
        <v>0</v>
      </c>
      <c r="AB48" s="26">
        <f>(C48*2)*(0.167)/27*171</f>
        <v>2889.5453333333339</v>
      </c>
      <c r="AC48" s="26">
        <f>(C48*2)*(0.167)/27*147</f>
        <v>2483.9951111111113</v>
      </c>
      <c r="AD48" s="26">
        <f t="shared" ref="AD48:AD66" si="81">Q48*227</f>
        <v>227</v>
      </c>
      <c r="AF48" s="26">
        <f t="shared" si="4"/>
        <v>2086.8938518518521</v>
      </c>
      <c r="AG48" s="26">
        <f t="shared" ref="AG48:AG66" si="82">40*214</f>
        <v>8560</v>
      </c>
      <c r="AH48" s="26">
        <f t="shared" ref="AH48:AH66" si="83">40*230.67</f>
        <v>9226.7999999999993</v>
      </c>
      <c r="AI48" s="26">
        <f t="shared" ref="AI48:AI66" si="84">40*298.33</f>
        <v>11933.199999999999</v>
      </c>
      <c r="AJ48" s="26">
        <f t="shared" ref="AJ48:AJ66" si="85">40*343.67</f>
        <v>13746.800000000001</v>
      </c>
      <c r="AK48" s="26">
        <f t="shared" ref="AK48:AK66" si="86">40*444.67</f>
        <v>17786.8</v>
      </c>
      <c r="AL48" s="26">
        <f t="shared" ref="AL48:AM66" si="87">40*216.33</f>
        <v>8653.2000000000007</v>
      </c>
      <c r="AM48" s="26">
        <f t="shared" si="87"/>
        <v>8653.2000000000007</v>
      </c>
      <c r="AN48" s="26">
        <f t="shared" ref="AN48:AN66" si="88">40*310.33</f>
        <v>12413.199999999999</v>
      </c>
      <c r="AO48" s="26">
        <f t="shared" ref="AO48:AO66" si="89">40*351.33</f>
        <v>14053.199999999999</v>
      </c>
      <c r="AP48" s="26">
        <f t="shared" ref="AP48:AP66" si="90">40*420.33</f>
        <v>16813.2</v>
      </c>
      <c r="AQ48" s="26">
        <f t="shared" ref="AQ48:AQ66" si="91">40*223.67</f>
        <v>8946.7999999999993</v>
      </c>
      <c r="AR48" s="26">
        <f t="shared" ref="AR48:AR66" si="92">40*255</f>
        <v>10200</v>
      </c>
      <c r="AS48" s="26">
        <f t="shared" ref="AS48:AS66" si="93">40*325.67</f>
        <v>13026.800000000001</v>
      </c>
      <c r="AT48" s="26">
        <f t="shared" ref="AT48:AT66" si="94">40*436.33</f>
        <v>17453.2</v>
      </c>
      <c r="AW48" s="26">
        <f t="shared" ref="AW48:AW66" si="95">16*27.67</f>
        <v>442.72</v>
      </c>
    </row>
    <row r="49" spans="1:52" x14ac:dyDescent="0.25">
      <c r="A49" s="187"/>
      <c r="B49" s="9" t="s">
        <v>77</v>
      </c>
      <c r="C49" s="2">
        <v>263</v>
      </c>
      <c r="D49" s="1">
        <v>20</v>
      </c>
      <c r="E49" s="1">
        <v>3</v>
      </c>
      <c r="F49" s="3">
        <f t="shared" si="29"/>
        <v>5260</v>
      </c>
      <c r="G49" s="3">
        <f t="shared" si="30"/>
        <v>584.44444444444446</v>
      </c>
      <c r="H49" s="2">
        <f t="shared" si="31"/>
        <v>48.703703703703702</v>
      </c>
      <c r="I49" s="1">
        <v>110</v>
      </c>
      <c r="J49" s="1">
        <f t="shared" si="7"/>
        <v>100</v>
      </c>
      <c r="K49" s="1" t="s">
        <v>60</v>
      </c>
      <c r="O49" s="3"/>
      <c r="Q49" s="1">
        <v>1</v>
      </c>
      <c r="S49" s="10">
        <f t="shared" si="0"/>
        <v>16033.000000000002</v>
      </c>
      <c r="T49" s="16">
        <f t="shared" si="49"/>
        <v>2337.7777777777778</v>
      </c>
      <c r="U49" s="10">
        <f t="shared" si="50"/>
        <v>0</v>
      </c>
      <c r="AB49" s="26">
        <f>(C49*2)*(0.167)/27*171</f>
        <v>556.33266666666668</v>
      </c>
      <c r="AC49" s="26">
        <f>(C49*2)*(0.167)/27*147</f>
        <v>478.25088888888888</v>
      </c>
      <c r="AD49" s="26">
        <f t="shared" si="81"/>
        <v>227</v>
      </c>
      <c r="AF49" s="26">
        <f t="shared" si="4"/>
        <v>401.79581481481483</v>
      </c>
      <c r="AG49" s="26">
        <f t="shared" si="82"/>
        <v>8560</v>
      </c>
      <c r="AH49" s="26">
        <f t="shared" si="83"/>
        <v>9226.7999999999993</v>
      </c>
      <c r="AI49" s="26">
        <f t="shared" si="84"/>
        <v>11933.199999999999</v>
      </c>
      <c r="AJ49" s="26">
        <f t="shared" si="85"/>
        <v>13746.800000000001</v>
      </c>
      <c r="AK49" s="26">
        <f t="shared" si="86"/>
        <v>17786.8</v>
      </c>
      <c r="AL49" s="26">
        <f t="shared" si="87"/>
        <v>8653.2000000000007</v>
      </c>
      <c r="AM49" s="26">
        <f t="shared" si="87"/>
        <v>8653.2000000000007</v>
      </c>
      <c r="AN49" s="26">
        <f t="shared" si="88"/>
        <v>12413.199999999999</v>
      </c>
      <c r="AO49" s="26">
        <f t="shared" si="89"/>
        <v>14053.199999999999</v>
      </c>
      <c r="AP49" s="26">
        <f t="shared" si="90"/>
        <v>16813.2</v>
      </c>
      <c r="AQ49" s="26">
        <f t="shared" si="91"/>
        <v>8946.7999999999993</v>
      </c>
      <c r="AR49" s="26">
        <f t="shared" si="92"/>
        <v>10200</v>
      </c>
      <c r="AS49" s="26">
        <f t="shared" si="93"/>
        <v>13026.800000000001</v>
      </c>
      <c r="AT49" s="26">
        <f t="shared" si="94"/>
        <v>17453.2</v>
      </c>
      <c r="AW49" s="26">
        <f t="shared" si="95"/>
        <v>442.72</v>
      </c>
    </row>
    <row r="50" spans="1:52" x14ac:dyDescent="0.25">
      <c r="A50" s="187"/>
      <c r="B50" t="s">
        <v>114</v>
      </c>
      <c r="C50" s="2">
        <v>264</v>
      </c>
      <c r="D50" s="1">
        <v>20</v>
      </c>
      <c r="E50" s="1">
        <v>3</v>
      </c>
      <c r="F50" s="3">
        <f t="shared" si="29"/>
        <v>5280</v>
      </c>
      <c r="G50" s="3">
        <f t="shared" si="30"/>
        <v>586.66666666666663</v>
      </c>
      <c r="H50" s="2">
        <f t="shared" si="31"/>
        <v>48.888888888888886</v>
      </c>
      <c r="I50" s="1">
        <v>110</v>
      </c>
      <c r="J50" s="1">
        <f t="shared" si="7"/>
        <v>100</v>
      </c>
      <c r="K50" s="1" t="s">
        <v>60</v>
      </c>
      <c r="L50" s="1">
        <v>12</v>
      </c>
      <c r="M50" s="1">
        <v>20</v>
      </c>
      <c r="N50" s="1">
        <f>L50 * M50</f>
        <v>240</v>
      </c>
      <c r="O50" s="3">
        <f>N50 / 9</f>
        <v>26.666666666666668</v>
      </c>
      <c r="Q50" s="1">
        <v>1</v>
      </c>
      <c r="S50" s="10">
        <f t="shared" si="0"/>
        <v>16033.000000000002</v>
      </c>
      <c r="T50" s="16">
        <f t="shared" si="49"/>
        <v>2346.6666666666665</v>
      </c>
      <c r="U50" s="10">
        <f t="shared" si="50"/>
        <v>4711.2</v>
      </c>
      <c r="AB50" s="26">
        <f>(C50*2)*(0.167)/27*171</f>
        <v>558.44799999999998</v>
      </c>
      <c r="AC50" s="26">
        <f>(C50*2)*(0.167)/27*147</f>
        <v>480.0693333333333</v>
      </c>
      <c r="AD50" s="26">
        <f t="shared" si="81"/>
        <v>227</v>
      </c>
      <c r="AF50" s="26">
        <f t="shared" si="4"/>
        <v>403.32355555555552</v>
      </c>
      <c r="AG50" s="26">
        <f t="shared" si="82"/>
        <v>8560</v>
      </c>
      <c r="AH50" s="26">
        <f t="shared" si="83"/>
        <v>9226.7999999999993</v>
      </c>
      <c r="AI50" s="26">
        <f t="shared" si="84"/>
        <v>11933.199999999999</v>
      </c>
      <c r="AJ50" s="26">
        <f t="shared" si="85"/>
        <v>13746.800000000001</v>
      </c>
      <c r="AK50" s="26">
        <f t="shared" si="86"/>
        <v>17786.8</v>
      </c>
      <c r="AL50" s="26">
        <f t="shared" si="87"/>
        <v>8653.2000000000007</v>
      </c>
      <c r="AM50" s="26">
        <f t="shared" si="87"/>
        <v>8653.2000000000007</v>
      </c>
      <c r="AN50" s="26">
        <f t="shared" si="88"/>
        <v>12413.199999999999</v>
      </c>
      <c r="AO50" s="26">
        <f t="shared" si="89"/>
        <v>14053.199999999999</v>
      </c>
      <c r="AP50" s="26">
        <f t="shared" si="90"/>
        <v>16813.2</v>
      </c>
      <c r="AQ50" s="26">
        <f t="shared" si="91"/>
        <v>8946.7999999999993</v>
      </c>
      <c r="AR50" s="26">
        <f t="shared" si="92"/>
        <v>10200</v>
      </c>
      <c r="AS50" s="26">
        <f t="shared" si="93"/>
        <v>13026.800000000001</v>
      </c>
      <c r="AT50" s="26">
        <f t="shared" si="94"/>
        <v>17453.2</v>
      </c>
      <c r="AW50" s="26">
        <f t="shared" si="95"/>
        <v>442.72</v>
      </c>
    </row>
    <row r="51" spans="1:52" x14ac:dyDescent="0.25">
      <c r="A51" s="187"/>
      <c r="B51" t="s">
        <v>111</v>
      </c>
      <c r="C51" s="2">
        <v>311</v>
      </c>
      <c r="D51" s="1">
        <v>23</v>
      </c>
      <c r="E51" s="1">
        <v>3</v>
      </c>
      <c r="F51" s="3">
        <f t="shared" si="29"/>
        <v>7153</v>
      </c>
      <c r="G51" s="3">
        <f t="shared" si="30"/>
        <v>794.77777777777783</v>
      </c>
      <c r="H51" s="2">
        <f t="shared" si="31"/>
        <v>66.231481481481481</v>
      </c>
      <c r="I51" s="1">
        <v>110</v>
      </c>
      <c r="J51" s="1">
        <f t="shared" si="7"/>
        <v>140</v>
      </c>
      <c r="K51" s="1" t="s">
        <v>60</v>
      </c>
      <c r="O51" s="3"/>
      <c r="Q51" s="1">
        <v>1</v>
      </c>
      <c r="S51" s="10">
        <f t="shared" si="0"/>
        <v>22446.2</v>
      </c>
      <c r="T51" s="16">
        <f t="shared" si="49"/>
        <v>3179.1111111111113</v>
      </c>
      <c r="U51" s="10">
        <f t="shared" si="50"/>
        <v>0</v>
      </c>
      <c r="AB51" s="26">
        <f>(C51*2)*(0.167)/27*171</f>
        <v>657.86866666666674</v>
      </c>
      <c r="AC51" s="26">
        <f>(C51*2)*(0.167)/27*147</f>
        <v>565.53622222222225</v>
      </c>
      <c r="AD51" s="26">
        <f t="shared" si="81"/>
        <v>227</v>
      </c>
      <c r="AF51" s="26">
        <f t="shared" si="4"/>
        <v>475.12737037037039</v>
      </c>
      <c r="AG51" s="26">
        <f t="shared" si="82"/>
        <v>8560</v>
      </c>
      <c r="AH51" s="26">
        <f t="shared" si="83"/>
        <v>9226.7999999999993</v>
      </c>
      <c r="AI51" s="26">
        <f t="shared" si="84"/>
        <v>11933.199999999999</v>
      </c>
      <c r="AJ51" s="26">
        <f t="shared" si="85"/>
        <v>13746.800000000001</v>
      </c>
      <c r="AK51" s="26">
        <f t="shared" si="86"/>
        <v>17786.8</v>
      </c>
      <c r="AL51" s="26">
        <f t="shared" si="87"/>
        <v>8653.2000000000007</v>
      </c>
      <c r="AM51" s="26">
        <f t="shared" si="87"/>
        <v>8653.2000000000007</v>
      </c>
      <c r="AN51" s="26">
        <f t="shared" si="88"/>
        <v>12413.199999999999</v>
      </c>
      <c r="AO51" s="26">
        <f t="shared" si="89"/>
        <v>14053.199999999999</v>
      </c>
      <c r="AP51" s="26">
        <f t="shared" si="90"/>
        <v>16813.2</v>
      </c>
      <c r="AQ51" s="26">
        <f t="shared" si="91"/>
        <v>8946.7999999999993</v>
      </c>
      <c r="AR51" s="26">
        <f t="shared" si="92"/>
        <v>10200</v>
      </c>
      <c r="AS51" s="26">
        <f t="shared" si="93"/>
        <v>13026.800000000001</v>
      </c>
      <c r="AT51" s="26">
        <f t="shared" si="94"/>
        <v>17453.2</v>
      </c>
      <c r="AW51" s="26">
        <f t="shared" si="95"/>
        <v>442.72</v>
      </c>
    </row>
    <row r="52" spans="1:52" x14ac:dyDescent="0.25">
      <c r="A52" s="187"/>
      <c r="B52" t="s">
        <v>69</v>
      </c>
      <c r="C52" s="2">
        <v>261</v>
      </c>
      <c r="D52" s="1">
        <v>23</v>
      </c>
      <c r="E52" s="1">
        <v>3</v>
      </c>
      <c r="F52" s="3">
        <f>C52*D52</f>
        <v>6003</v>
      </c>
      <c r="G52" s="3">
        <f>F52/9</f>
        <v>667</v>
      </c>
      <c r="H52" s="2">
        <f xml:space="preserve"> (G52* (E52 / 36))</f>
        <v>55.583333333333329</v>
      </c>
      <c r="I52" s="1">
        <v>110</v>
      </c>
      <c r="J52" s="1">
        <f xml:space="preserve"> ROUNDUP(((I52 * E52 * G52)/2000), -1)</f>
        <v>120</v>
      </c>
      <c r="K52" s="1" t="s">
        <v>60</v>
      </c>
      <c r="O52" s="3"/>
      <c r="Q52" s="1">
        <v>1</v>
      </c>
      <c r="S52" s="10">
        <f>J52*160.33</f>
        <v>19239.600000000002</v>
      </c>
      <c r="T52" s="16">
        <f>G52*4</f>
        <v>2668</v>
      </c>
      <c r="U52" s="10">
        <f>O52*176.67</f>
        <v>0</v>
      </c>
      <c r="AD52" s="26">
        <f t="shared" si="81"/>
        <v>227</v>
      </c>
      <c r="AF52" s="26">
        <f t="shared" si="4"/>
        <v>398.74033333333335</v>
      </c>
      <c r="AG52" s="26">
        <f t="shared" si="82"/>
        <v>8560</v>
      </c>
      <c r="AH52" s="26">
        <f t="shared" si="83"/>
        <v>9226.7999999999993</v>
      </c>
      <c r="AI52" s="26">
        <f t="shared" si="84"/>
        <v>11933.199999999999</v>
      </c>
      <c r="AJ52" s="26">
        <f t="shared" si="85"/>
        <v>13746.800000000001</v>
      </c>
      <c r="AK52" s="26">
        <f t="shared" si="86"/>
        <v>17786.8</v>
      </c>
      <c r="AL52" s="26">
        <f t="shared" si="87"/>
        <v>8653.2000000000007</v>
      </c>
      <c r="AM52" s="26">
        <f t="shared" si="87"/>
        <v>8653.2000000000007</v>
      </c>
      <c r="AN52" s="26">
        <f t="shared" si="88"/>
        <v>12413.199999999999</v>
      </c>
      <c r="AO52" s="26">
        <f t="shared" si="89"/>
        <v>14053.199999999999</v>
      </c>
      <c r="AP52" s="26">
        <f t="shared" si="90"/>
        <v>16813.2</v>
      </c>
      <c r="AQ52" s="26">
        <f t="shared" si="91"/>
        <v>8946.7999999999993</v>
      </c>
      <c r="AR52" s="26">
        <f t="shared" si="92"/>
        <v>10200</v>
      </c>
      <c r="AS52" s="26">
        <f t="shared" si="93"/>
        <v>13026.800000000001</v>
      </c>
      <c r="AT52" s="26">
        <f t="shared" si="94"/>
        <v>17453.2</v>
      </c>
      <c r="AW52" s="26">
        <f t="shared" si="95"/>
        <v>442.72</v>
      </c>
    </row>
    <row r="53" spans="1:52" x14ac:dyDescent="0.25">
      <c r="A53" s="187"/>
      <c r="B53" t="s">
        <v>70</v>
      </c>
      <c r="C53" s="2">
        <v>938</v>
      </c>
      <c r="D53" s="1">
        <v>23</v>
      </c>
      <c r="E53" s="1">
        <v>3</v>
      </c>
      <c r="F53" s="3">
        <f t="shared" si="29"/>
        <v>21574</v>
      </c>
      <c r="G53" s="3">
        <f t="shared" si="30"/>
        <v>2397.1111111111113</v>
      </c>
      <c r="H53" s="2">
        <f t="shared" si="31"/>
        <v>199.75925925925927</v>
      </c>
      <c r="I53" s="1">
        <v>110</v>
      </c>
      <c r="J53" s="1">
        <f t="shared" si="7"/>
        <v>400</v>
      </c>
      <c r="K53" s="1" t="s">
        <v>60</v>
      </c>
      <c r="O53" s="3"/>
      <c r="Q53" s="1">
        <v>1</v>
      </c>
      <c r="S53" s="10">
        <f t="shared" si="0"/>
        <v>64132.000000000007</v>
      </c>
      <c r="T53" s="16">
        <f t="shared" si="49"/>
        <v>9588.4444444444453</v>
      </c>
      <c r="U53" s="10">
        <f t="shared" si="50"/>
        <v>0</v>
      </c>
      <c r="AD53" s="26">
        <f t="shared" si="81"/>
        <v>227</v>
      </c>
      <c r="AF53" s="26">
        <f t="shared" si="4"/>
        <v>1433.0208148148149</v>
      </c>
      <c r="AG53" s="26">
        <f t="shared" si="82"/>
        <v>8560</v>
      </c>
      <c r="AH53" s="26">
        <f t="shared" si="83"/>
        <v>9226.7999999999993</v>
      </c>
      <c r="AI53" s="26">
        <f t="shared" si="84"/>
        <v>11933.199999999999</v>
      </c>
      <c r="AJ53" s="26">
        <f t="shared" si="85"/>
        <v>13746.800000000001</v>
      </c>
      <c r="AK53" s="26">
        <f t="shared" si="86"/>
        <v>17786.8</v>
      </c>
      <c r="AL53" s="26">
        <f t="shared" si="87"/>
        <v>8653.2000000000007</v>
      </c>
      <c r="AM53" s="26">
        <f t="shared" si="87"/>
        <v>8653.2000000000007</v>
      </c>
      <c r="AN53" s="26">
        <f t="shared" si="88"/>
        <v>12413.199999999999</v>
      </c>
      <c r="AO53" s="26">
        <f t="shared" si="89"/>
        <v>14053.199999999999</v>
      </c>
      <c r="AP53" s="26">
        <f t="shared" si="90"/>
        <v>16813.2</v>
      </c>
      <c r="AQ53" s="26">
        <f t="shared" si="91"/>
        <v>8946.7999999999993</v>
      </c>
      <c r="AR53" s="26">
        <f t="shared" si="92"/>
        <v>10200</v>
      </c>
      <c r="AS53" s="26">
        <f t="shared" si="93"/>
        <v>13026.800000000001</v>
      </c>
      <c r="AT53" s="26">
        <f t="shared" si="94"/>
        <v>17453.2</v>
      </c>
      <c r="AW53" s="26">
        <f t="shared" si="95"/>
        <v>442.72</v>
      </c>
    </row>
    <row r="54" spans="1:52" x14ac:dyDescent="0.25">
      <c r="A54" s="187"/>
      <c r="B54" t="s">
        <v>71</v>
      </c>
      <c r="C54" s="2">
        <v>1101</v>
      </c>
      <c r="D54" s="1">
        <v>23</v>
      </c>
      <c r="E54" s="1">
        <v>3</v>
      </c>
      <c r="F54" s="3">
        <f t="shared" si="29"/>
        <v>25323</v>
      </c>
      <c r="G54" s="3">
        <f t="shared" si="30"/>
        <v>2813.6666666666665</v>
      </c>
      <c r="H54" s="2">
        <f t="shared" si="31"/>
        <v>234.4722222222222</v>
      </c>
      <c r="I54" s="1">
        <v>110</v>
      </c>
      <c r="J54" s="1">
        <f t="shared" si="7"/>
        <v>470</v>
      </c>
      <c r="K54" s="1" t="s">
        <v>60</v>
      </c>
      <c r="O54" s="3"/>
      <c r="Q54" s="1">
        <v>1</v>
      </c>
      <c r="S54" s="10">
        <f t="shared" si="0"/>
        <v>75355.100000000006</v>
      </c>
      <c r="T54" s="16">
        <f t="shared" si="49"/>
        <v>11254.666666666666</v>
      </c>
      <c r="U54" s="10">
        <f t="shared" si="50"/>
        <v>0</v>
      </c>
      <c r="AD54" s="26">
        <f t="shared" si="81"/>
        <v>227</v>
      </c>
      <c r="AF54" s="26">
        <f t="shared" si="4"/>
        <v>1682.0425555555557</v>
      </c>
      <c r="AG54" s="26">
        <f t="shared" si="82"/>
        <v>8560</v>
      </c>
      <c r="AH54" s="26">
        <f t="shared" si="83"/>
        <v>9226.7999999999993</v>
      </c>
      <c r="AI54" s="26">
        <f t="shared" si="84"/>
        <v>11933.199999999999</v>
      </c>
      <c r="AJ54" s="26">
        <f t="shared" si="85"/>
        <v>13746.800000000001</v>
      </c>
      <c r="AK54" s="26">
        <f t="shared" si="86"/>
        <v>17786.8</v>
      </c>
      <c r="AL54" s="26">
        <f t="shared" si="87"/>
        <v>8653.2000000000007</v>
      </c>
      <c r="AM54" s="26">
        <f t="shared" si="87"/>
        <v>8653.2000000000007</v>
      </c>
      <c r="AN54" s="26">
        <f t="shared" si="88"/>
        <v>12413.199999999999</v>
      </c>
      <c r="AO54" s="26">
        <f t="shared" si="89"/>
        <v>14053.199999999999</v>
      </c>
      <c r="AP54" s="26">
        <f t="shared" si="90"/>
        <v>16813.2</v>
      </c>
      <c r="AQ54" s="26">
        <f t="shared" si="91"/>
        <v>8946.7999999999993</v>
      </c>
      <c r="AR54" s="26">
        <f t="shared" si="92"/>
        <v>10200</v>
      </c>
      <c r="AS54" s="26">
        <f t="shared" si="93"/>
        <v>13026.800000000001</v>
      </c>
      <c r="AT54" s="26">
        <f t="shared" si="94"/>
        <v>17453.2</v>
      </c>
      <c r="AW54" s="26">
        <f t="shared" si="95"/>
        <v>442.72</v>
      </c>
    </row>
    <row r="55" spans="1:52" x14ac:dyDescent="0.25">
      <c r="A55" s="187"/>
      <c r="B55" t="s">
        <v>72</v>
      </c>
      <c r="C55" s="2">
        <v>576</v>
      </c>
      <c r="D55" s="1">
        <v>23</v>
      </c>
      <c r="E55" s="1">
        <v>3</v>
      </c>
      <c r="F55" s="3">
        <f t="shared" si="29"/>
        <v>13248</v>
      </c>
      <c r="G55" s="3">
        <f t="shared" si="30"/>
        <v>1472</v>
      </c>
      <c r="H55" s="2">
        <f t="shared" si="31"/>
        <v>122.66666666666666</v>
      </c>
      <c r="I55" s="1">
        <v>110</v>
      </c>
      <c r="J55" s="1">
        <f t="shared" si="7"/>
        <v>250</v>
      </c>
      <c r="K55" s="1" t="s">
        <v>60</v>
      </c>
      <c r="O55" s="3"/>
      <c r="Q55" s="1">
        <v>1</v>
      </c>
      <c r="S55" s="10">
        <f t="shared" ref="S55:S78" si="96">J55*160.33</f>
        <v>40082.5</v>
      </c>
      <c r="T55" s="16">
        <f t="shared" si="49"/>
        <v>5888</v>
      </c>
      <c r="U55" s="10">
        <f t="shared" si="50"/>
        <v>0</v>
      </c>
      <c r="AD55" s="26">
        <f t="shared" si="81"/>
        <v>227</v>
      </c>
      <c r="AF55" s="26">
        <f t="shared" ref="AF55:AF78" si="97">(C55*2)*(0.167)/27*123.5</f>
        <v>879.97866666666675</v>
      </c>
      <c r="AG55" s="26">
        <f t="shared" si="82"/>
        <v>8560</v>
      </c>
      <c r="AH55" s="26">
        <f t="shared" si="83"/>
        <v>9226.7999999999993</v>
      </c>
      <c r="AI55" s="26">
        <f t="shared" si="84"/>
        <v>11933.199999999999</v>
      </c>
      <c r="AJ55" s="26">
        <f t="shared" si="85"/>
        <v>13746.800000000001</v>
      </c>
      <c r="AK55" s="26">
        <f t="shared" si="86"/>
        <v>17786.8</v>
      </c>
      <c r="AL55" s="26">
        <f t="shared" si="87"/>
        <v>8653.2000000000007</v>
      </c>
      <c r="AM55" s="26">
        <f t="shared" si="87"/>
        <v>8653.2000000000007</v>
      </c>
      <c r="AN55" s="26">
        <f t="shared" si="88"/>
        <v>12413.199999999999</v>
      </c>
      <c r="AO55" s="26">
        <f t="shared" si="89"/>
        <v>14053.199999999999</v>
      </c>
      <c r="AP55" s="26">
        <f t="shared" si="90"/>
        <v>16813.2</v>
      </c>
      <c r="AQ55" s="26">
        <f t="shared" si="91"/>
        <v>8946.7999999999993</v>
      </c>
      <c r="AR55" s="26">
        <f t="shared" si="92"/>
        <v>10200</v>
      </c>
      <c r="AS55" s="26">
        <f t="shared" si="93"/>
        <v>13026.800000000001</v>
      </c>
      <c r="AT55" s="26">
        <f t="shared" si="94"/>
        <v>17453.2</v>
      </c>
      <c r="AW55" s="26">
        <f t="shared" si="95"/>
        <v>442.72</v>
      </c>
    </row>
    <row r="56" spans="1:52" x14ac:dyDescent="0.25">
      <c r="A56" s="187"/>
      <c r="B56" t="s">
        <v>73</v>
      </c>
      <c r="C56" s="2">
        <v>582</v>
      </c>
      <c r="D56" s="1">
        <v>23</v>
      </c>
      <c r="E56" s="1">
        <v>3</v>
      </c>
      <c r="F56" s="3">
        <f t="shared" si="29"/>
        <v>13386</v>
      </c>
      <c r="G56" s="3">
        <f t="shared" si="30"/>
        <v>1487.3333333333333</v>
      </c>
      <c r="H56" s="2">
        <f t="shared" si="31"/>
        <v>123.94444444444443</v>
      </c>
      <c r="I56" s="1">
        <v>110</v>
      </c>
      <c r="J56" s="1">
        <f t="shared" ref="J56:J77" si="98" xml:space="preserve"> ROUNDUP(((I56 * E56 * G56)/2000), -1)</f>
        <v>250</v>
      </c>
      <c r="K56" s="1" t="s">
        <v>60</v>
      </c>
      <c r="O56" s="3"/>
      <c r="Q56" s="1">
        <v>1</v>
      </c>
      <c r="S56" s="10">
        <f t="shared" si="96"/>
        <v>40082.5</v>
      </c>
      <c r="T56" s="16">
        <f t="shared" si="49"/>
        <v>5949.333333333333</v>
      </c>
      <c r="U56" s="10">
        <f t="shared" si="50"/>
        <v>0</v>
      </c>
      <c r="AD56" s="26">
        <f t="shared" si="81"/>
        <v>227</v>
      </c>
      <c r="AF56" s="26">
        <f t="shared" si="97"/>
        <v>889.14511111111108</v>
      </c>
      <c r="AG56" s="26">
        <f t="shared" si="82"/>
        <v>8560</v>
      </c>
      <c r="AH56" s="26">
        <f t="shared" si="83"/>
        <v>9226.7999999999993</v>
      </c>
      <c r="AI56" s="26">
        <f t="shared" si="84"/>
        <v>11933.199999999999</v>
      </c>
      <c r="AJ56" s="26">
        <f t="shared" si="85"/>
        <v>13746.800000000001</v>
      </c>
      <c r="AK56" s="26">
        <f t="shared" si="86"/>
        <v>17786.8</v>
      </c>
      <c r="AL56" s="26">
        <f t="shared" si="87"/>
        <v>8653.2000000000007</v>
      </c>
      <c r="AM56" s="26">
        <f t="shared" si="87"/>
        <v>8653.2000000000007</v>
      </c>
      <c r="AN56" s="26">
        <f t="shared" si="88"/>
        <v>12413.199999999999</v>
      </c>
      <c r="AO56" s="26">
        <f t="shared" si="89"/>
        <v>14053.199999999999</v>
      </c>
      <c r="AP56" s="26">
        <f t="shared" si="90"/>
        <v>16813.2</v>
      </c>
      <c r="AQ56" s="26">
        <f t="shared" si="91"/>
        <v>8946.7999999999993</v>
      </c>
      <c r="AR56" s="26">
        <f t="shared" si="92"/>
        <v>10200</v>
      </c>
      <c r="AS56" s="26">
        <f t="shared" si="93"/>
        <v>13026.800000000001</v>
      </c>
      <c r="AT56" s="26">
        <f t="shared" si="94"/>
        <v>17453.2</v>
      </c>
      <c r="AW56" s="26">
        <f t="shared" si="95"/>
        <v>442.72</v>
      </c>
    </row>
    <row r="57" spans="1:52" x14ac:dyDescent="0.25">
      <c r="A57" s="187"/>
      <c r="B57" t="s">
        <v>74</v>
      </c>
      <c r="C57" s="2">
        <v>1030</v>
      </c>
      <c r="D57" s="1">
        <v>23</v>
      </c>
      <c r="E57" s="1">
        <v>3</v>
      </c>
      <c r="F57" s="3">
        <f t="shared" si="29"/>
        <v>23690</v>
      </c>
      <c r="G57" s="3">
        <f t="shared" si="30"/>
        <v>2632.2222222222222</v>
      </c>
      <c r="H57" s="2">
        <f t="shared" si="31"/>
        <v>219.35185185185185</v>
      </c>
      <c r="I57" s="1">
        <v>110</v>
      </c>
      <c r="J57" s="1">
        <f t="shared" si="98"/>
        <v>440</v>
      </c>
      <c r="K57" s="1" t="s">
        <v>60</v>
      </c>
      <c r="O57" s="3"/>
      <c r="Q57" s="1">
        <v>1</v>
      </c>
      <c r="S57" s="10">
        <f t="shared" si="96"/>
        <v>70545.200000000012</v>
      </c>
      <c r="T57" s="16">
        <f t="shared" si="49"/>
        <v>10528.888888888889</v>
      </c>
      <c r="U57" s="10">
        <f t="shared" si="50"/>
        <v>0</v>
      </c>
      <c r="AD57" s="26">
        <f t="shared" si="81"/>
        <v>227</v>
      </c>
      <c r="AF57" s="26">
        <f t="shared" si="97"/>
        <v>1573.5729629629632</v>
      </c>
      <c r="AG57" s="26">
        <f t="shared" si="82"/>
        <v>8560</v>
      </c>
      <c r="AH57" s="26">
        <f t="shared" si="83"/>
        <v>9226.7999999999993</v>
      </c>
      <c r="AI57" s="26">
        <f t="shared" si="84"/>
        <v>11933.199999999999</v>
      </c>
      <c r="AJ57" s="26">
        <f t="shared" si="85"/>
        <v>13746.800000000001</v>
      </c>
      <c r="AK57" s="26">
        <f t="shared" si="86"/>
        <v>17786.8</v>
      </c>
      <c r="AL57" s="26">
        <f t="shared" si="87"/>
        <v>8653.2000000000007</v>
      </c>
      <c r="AM57" s="26">
        <f t="shared" si="87"/>
        <v>8653.2000000000007</v>
      </c>
      <c r="AN57" s="26">
        <f t="shared" si="88"/>
        <v>12413.199999999999</v>
      </c>
      <c r="AO57" s="26">
        <f t="shared" si="89"/>
        <v>14053.199999999999</v>
      </c>
      <c r="AP57" s="26">
        <f t="shared" si="90"/>
        <v>16813.2</v>
      </c>
      <c r="AQ57" s="26">
        <f t="shared" si="91"/>
        <v>8946.7999999999993</v>
      </c>
      <c r="AR57" s="26">
        <f t="shared" si="92"/>
        <v>10200</v>
      </c>
      <c r="AS57" s="26">
        <f t="shared" si="93"/>
        <v>13026.800000000001</v>
      </c>
      <c r="AT57" s="26">
        <f t="shared" si="94"/>
        <v>17453.2</v>
      </c>
      <c r="AW57" s="26">
        <f t="shared" si="95"/>
        <v>442.72</v>
      </c>
    </row>
    <row r="58" spans="1:52" x14ac:dyDescent="0.25">
      <c r="A58" s="187"/>
      <c r="B58" t="s">
        <v>75</v>
      </c>
      <c r="C58" s="2">
        <v>1304</v>
      </c>
      <c r="D58" s="1">
        <v>15</v>
      </c>
      <c r="E58" s="1">
        <v>3</v>
      </c>
      <c r="F58" s="3">
        <f t="shared" si="29"/>
        <v>19560</v>
      </c>
      <c r="G58" s="3">
        <f t="shared" si="30"/>
        <v>2173.3333333333335</v>
      </c>
      <c r="H58" s="2">
        <f t="shared" si="31"/>
        <v>181.11111111111111</v>
      </c>
      <c r="I58" s="1">
        <v>110</v>
      </c>
      <c r="J58" s="1">
        <f t="shared" si="98"/>
        <v>360</v>
      </c>
      <c r="K58" s="1" t="s">
        <v>60</v>
      </c>
      <c r="O58" s="3"/>
      <c r="Q58" s="1">
        <v>1</v>
      </c>
      <c r="S58" s="10">
        <f t="shared" si="96"/>
        <v>57718.8</v>
      </c>
      <c r="T58" s="16">
        <f t="shared" si="49"/>
        <v>8693.3333333333339</v>
      </c>
      <c r="U58" s="10">
        <f t="shared" si="50"/>
        <v>0</v>
      </c>
      <c r="AD58" s="26">
        <f t="shared" si="81"/>
        <v>227</v>
      </c>
      <c r="AF58" s="26">
        <f t="shared" si="97"/>
        <v>1992.1739259259261</v>
      </c>
      <c r="AG58" s="26">
        <f t="shared" si="82"/>
        <v>8560</v>
      </c>
      <c r="AH58" s="26">
        <f t="shared" si="83"/>
        <v>9226.7999999999993</v>
      </c>
      <c r="AI58" s="26">
        <f t="shared" si="84"/>
        <v>11933.199999999999</v>
      </c>
      <c r="AJ58" s="26">
        <f t="shared" si="85"/>
        <v>13746.800000000001</v>
      </c>
      <c r="AK58" s="26">
        <f t="shared" si="86"/>
        <v>17786.8</v>
      </c>
      <c r="AL58" s="26">
        <f t="shared" si="87"/>
        <v>8653.2000000000007</v>
      </c>
      <c r="AM58" s="26">
        <f t="shared" si="87"/>
        <v>8653.2000000000007</v>
      </c>
      <c r="AN58" s="26">
        <f t="shared" si="88"/>
        <v>12413.199999999999</v>
      </c>
      <c r="AO58" s="26">
        <f t="shared" si="89"/>
        <v>14053.199999999999</v>
      </c>
      <c r="AP58" s="26">
        <f t="shared" si="90"/>
        <v>16813.2</v>
      </c>
      <c r="AQ58" s="26">
        <f t="shared" si="91"/>
        <v>8946.7999999999993</v>
      </c>
      <c r="AR58" s="26">
        <f t="shared" si="92"/>
        <v>10200</v>
      </c>
      <c r="AS58" s="26">
        <f t="shared" si="93"/>
        <v>13026.800000000001</v>
      </c>
      <c r="AT58" s="26">
        <f t="shared" si="94"/>
        <v>17453.2</v>
      </c>
      <c r="AW58" s="26">
        <f t="shared" si="95"/>
        <v>442.72</v>
      </c>
    </row>
    <row r="59" spans="1:52" x14ac:dyDescent="0.25">
      <c r="A59" s="187"/>
      <c r="B59" t="s">
        <v>76</v>
      </c>
      <c r="C59" s="2">
        <v>187</v>
      </c>
      <c r="D59" s="1">
        <v>15</v>
      </c>
      <c r="E59" s="1">
        <v>3</v>
      </c>
      <c r="F59" s="3">
        <f t="shared" si="29"/>
        <v>2805</v>
      </c>
      <c r="G59" s="3">
        <f t="shared" si="30"/>
        <v>311.66666666666669</v>
      </c>
      <c r="H59" s="2">
        <f t="shared" si="31"/>
        <v>25.972222222222221</v>
      </c>
      <c r="I59" s="1">
        <v>110</v>
      </c>
      <c r="J59" s="1">
        <f t="shared" si="98"/>
        <v>60</v>
      </c>
      <c r="K59" s="1" t="s">
        <v>60</v>
      </c>
      <c r="O59" s="3"/>
      <c r="Q59" s="1">
        <v>1</v>
      </c>
      <c r="S59" s="10">
        <f t="shared" si="96"/>
        <v>9619.8000000000011</v>
      </c>
      <c r="T59" s="16">
        <f t="shared" si="49"/>
        <v>1246.6666666666667</v>
      </c>
      <c r="U59" s="10">
        <f t="shared" si="50"/>
        <v>0</v>
      </c>
      <c r="AD59" s="26">
        <f t="shared" si="81"/>
        <v>227</v>
      </c>
      <c r="AF59" s="26">
        <f t="shared" si="97"/>
        <v>285.68751851851852</v>
      </c>
      <c r="AG59" s="26">
        <f t="shared" si="82"/>
        <v>8560</v>
      </c>
      <c r="AH59" s="26">
        <f t="shared" si="83"/>
        <v>9226.7999999999993</v>
      </c>
      <c r="AI59" s="26">
        <f t="shared" si="84"/>
        <v>11933.199999999999</v>
      </c>
      <c r="AJ59" s="26">
        <f t="shared" si="85"/>
        <v>13746.800000000001</v>
      </c>
      <c r="AK59" s="26">
        <f t="shared" si="86"/>
        <v>17786.8</v>
      </c>
      <c r="AL59" s="26">
        <f t="shared" si="87"/>
        <v>8653.2000000000007</v>
      </c>
      <c r="AM59" s="26">
        <f t="shared" si="87"/>
        <v>8653.2000000000007</v>
      </c>
      <c r="AN59" s="26">
        <f t="shared" si="88"/>
        <v>12413.199999999999</v>
      </c>
      <c r="AO59" s="26">
        <f t="shared" si="89"/>
        <v>14053.199999999999</v>
      </c>
      <c r="AP59" s="26">
        <f t="shared" si="90"/>
        <v>16813.2</v>
      </c>
      <c r="AQ59" s="26">
        <f t="shared" si="91"/>
        <v>8946.7999999999993</v>
      </c>
      <c r="AR59" s="26">
        <f t="shared" si="92"/>
        <v>10200</v>
      </c>
      <c r="AS59" s="26">
        <f t="shared" si="93"/>
        <v>13026.800000000001</v>
      </c>
      <c r="AT59" s="26">
        <f t="shared" si="94"/>
        <v>17453.2</v>
      </c>
      <c r="AW59" s="26">
        <f t="shared" si="95"/>
        <v>442.72</v>
      </c>
    </row>
    <row r="60" spans="1:52" x14ac:dyDescent="0.25">
      <c r="A60" s="187"/>
      <c r="B60" t="s">
        <v>83</v>
      </c>
      <c r="C60" s="2">
        <v>765</v>
      </c>
      <c r="D60" s="1">
        <v>18</v>
      </c>
      <c r="E60" s="1">
        <v>3</v>
      </c>
      <c r="F60" s="3">
        <f t="shared" si="29"/>
        <v>13770</v>
      </c>
      <c r="G60" s="3">
        <f t="shared" si="30"/>
        <v>1530</v>
      </c>
      <c r="H60" s="2">
        <f t="shared" si="31"/>
        <v>127.5</v>
      </c>
      <c r="I60" s="1">
        <v>110</v>
      </c>
      <c r="J60" s="1">
        <f t="shared" si="98"/>
        <v>260</v>
      </c>
      <c r="K60" s="1" t="s">
        <v>60</v>
      </c>
      <c r="L60" s="1">
        <v>10</v>
      </c>
      <c r="M60" s="1">
        <v>8</v>
      </c>
      <c r="N60" s="1">
        <f>L60 * M60</f>
        <v>80</v>
      </c>
      <c r="O60" s="3">
        <f>N60 / 9</f>
        <v>8.8888888888888893</v>
      </c>
      <c r="S60" s="10">
        <f t="shared" si="96"/>
        <v>41685.800000000003</v>
      </c>
      <c r="T60" s="16">
        <f t="shared" si="49"/>
        <v>6120</v>
      </c>
      <c r="U60" s="10">
        <f t="shared" si="50"/>
        <v>1570.3999999999999</v>
      </c>
      <c r="AF60" s="26">
        <f t="shared" si="97"/>
        <v>1168.7216666666668</v>
      </c>
      <c r="AG60" s="26">
        <f t="shared" si="82"/>
        <v>8560</v>
      </c>
      <c r="AH60" s="26">
        <f t="shared" si="83"/>
        <v>9226.7999999999993</v>
      </c>
      <c r="AI60" s="26">
        <f t="shared" si="84"/>
        <v>11933.199999999999</v>
      </c>
      <c r="AJ60" s="26">
        <f t="shared" si="85"/>
        <v>13746.800000000001</v>
      </c>
      <c r="AK60" s="26">
        <f t="shared" si="86"/>
        <v>17786.8</v>
      </c>
      <c r="AL60" s="26">
        <f t="shared" si="87"/>
        <v>8653.2000000000007</v>
      </c>
      <c r="AM60" s="26">
        <f t="shared" si="87"/>
        <v>8653.2000000000007</v>
      </c>
      <c r="AN60" s="26">
        <f t="shared" si="88"/>
        <v>12413.199999999999</v>
      </c>
      <c r="AO60" s="26">
        <f t="shared" si="89"/>
        <v>14053.199999999999</v>
      </c>
      <c r="AP60" s="26">
        <f t="shared" si="90"/>
        <v>16813.2</v>
      </c>
      <c r="AQ60" s="26">
        <f t="shared" si="91"/>
        <v>8946.7999999999993</v>
      </c>
      <c r="AR60" s="26">
        <f t="shared" si="92"/>
        <v>10200</v>
      </c>
      <c r="AS60" s="26">
        <f t="shared" si="93"/>
        <v>13026.800000000001</v>
      </c>
      <c r="AT60" s="26">
        <f t="shared" si="94"/>
        <v>17453.2</v>
      </c>
      <c r="AW60" s="26">
        <f t="shared" si="95"/>
        <v>442.72</v>
      </c>
    </row>
    <row r="61" spans="1:52" x14ac:dyDescent="0.25">
      <c r="A61" s="187"/>
      <c r="B61" t="s">
        <v>84</v>
      </c>
      <c r="C61" s="2">
        <v>791</v>
      </c>
      <c r="D61" s="1">
        <v>20</v>
      </c>
      <c r="E61" s="1">
        <v>3</v>
      </c>
      <c r="F61" s="3">
        <f t="shared" si="29"/>
        <v>15820</v>
      </c>
      <c r="G61" s="3">
        <f t="shared" si="30"/>
        <v>1757.7777777777778</v>
      </c>
      <c r="H61" s="2">
        <f t="shared" si="31"/>
        <v>146.48148148148147</v>
      </c>
      <c r="I61" s="1">
        <v>110</v>
      </c>
      <c r="J61" s="1">
        <f t="shared" si="98"/>
        <v>300</v>
      </c>
      <c r="K61" s="1" t="s">
        <v>61</v>
      </c>
      <c r="O61" s="3"/>
      <c r="Q61" s="1">
        <v>1</v>
      </c>
      <c r="S61" s="10">
        <f t="shared" si="96"/>
        <v>48099.000000000007</v>
      </c>
      <c r="W61" s="10">
        <f>G61*10.13</f>
        <v>17806.288888888892</v>
      </c>
      <c r="X61" s="10">
        <f>G61*14.25</f>
        <v>25048.333333333336</v>
      </c>
      <c r="Y61" s="10">
        <f>G61*17.03</f>
        <v>29934.95555555556</v>
      </c>
      <c r="Z61" s="10">
        <f>G61*6.83</f>
        <v>12005.622222222222</v>
      </c>
      <c r="AA61" s="10">
        <f>(C61/5280)*5432</f>
        <v>813.7712121212121</v>
      </c>
      <c r="AD61" s="26">
        <f t="shared" si="81"/>
        <v>227</v>
      </c>
      <c r="AE61" s="10">
        <v>4333</v>
      </c>
      <c r="AF61" s="26">
        <f t="shared" si="97"/>
        <v>1208.4429259259259</v>
      </c>
      <c r="AG61" s="26">
        <f t="shared" si="82"/>
        <v>8560</v>
      </c>
      <c r="AH61" s="26">
        <f t="shared" si="83"/>
        <v>9226.7999999999993</v>
      </c>
      <c r="AI61" s="26">
        <f t="shared" si="84"/>
        <v>11933.199999999999</v>
      </c>
      <c r="AJ61" s="26">
        <f t="shared" si="85"/>
        <v>13746.800000000001</v>
      </c>
      <c r="AK61" s="26">
        <f t="shared" si="86"/>
        <v>17786.8</v>
      </c>
      <c r="AL61" s="26">
        <f t="shared" si="87"/>
        <v>8653.2000000000007</v>
      </c>
      <c r="AM61" s="26">
        <f t="shared" si="87"/>
        <v>8653.2000000000007</v>
      </c>
      <c r="AN61" s="26">
        <f t="shared" si="88"/>
        <v>12413.199999999999</v>
      </c>
      <c r="AO61" s="26">
        <f t="shared" si="89"/>
        <v>14053.199999999999</v>
      </c>
      <c r="AP61" s="26">
        <f t="shared" si="90"/>
        <v>16813.2</v>
      </c>
      <c r="AQ61" s="26">
        <f t="shared" si="91"/>
        <v>8946.7999999999993</v>
      </c>
      <c r="AR61" s="26">
        <f t="shared" si="92"/>
        <v>10200</v>
      </c>
      <c r="AS61" s="26">
        <f t="shared" si="93"/>
        <v>13026.800000000001</v>
      </c>
      <c r="AT61" s="26">
        <f t="shared" si="94"/>
        <v>17453.2</v>
      </c>
      <c r="AW61" s="26">
        <f t="shared" si="95"/>
        <v>442.72</v>
      </c>
      <c r="AZ61" s="26">
        <f>200*85</f>
        <v>17000</v>
      </c>
    </row>
    <row r="62" spans="1:52" x14ac:dyDescent="0.25">
      <c r="A62" s="187"/>
      <c r="B62" t="s">
        <v>85</v>
      </c>
      <c r="C62" s="2">
        <v>1123</v>
      </c>
      <c r="D62" s="1">
        <v>20</v>
      </c>
      <c r="E62" s="1">
        <v>3</v>
      </c>
      <c r="F62" s="3">
        <f t="shared" si="29"/>
        <v>22460</v>
      </c>
      <c r="G62" s="3">
        <f t="shared" si="30"/>
        <v>2495.5555555555557</v>
      </c>
      <c r="H62" s="2">
        <f t="shared" si="31"/>
        <v>207.96296296296296</v>
      </c>
      <c r="I62" s="1">
        <v>110</v>
      </c>
      <c r="J62" s="1">
        <f t="shared" si="98"/>
        <v>420</v>
      </c>
      <c r="K62" s="1" t="s">
        <v>61</v>
      </c>
      <c r="O62" s="3"/>
      <c r="Q62" s="1">
        <v>1</v>
      </c>
      <c r="S62" s="10">
        <f t="shared" si="96"/>
        <v>67338.600000000006</v>
      </c>
      <c r="W62" s="10">
        <f>G62*10.13</f>
        <v>25279.977777777782</v>
      </c>
      <c r="X62" s="10">
        <f>G62*14.25</f>
        <v>35561.666666666672</v>
      </c>
      <c r="Y62" s="10">
        <f>G62*17.03</f>
        <v>42499.311111111114</v>
      </c>
      <c r="Z62" s="10">
        <f>G62*6.83</f>
        <v>17044.644444444446</v>
      </c>
      <c r="AA62" s="10">
        <f>(C62/5280)*5432</f>
        <v>1155.3287878787878</v>
      </c>
      <c r="AD62" s="26">
        <f t="shared" si="81"/>
        <v>227</v>
      </c>
      <c r="AE62" s="10">
        <v>4333</v>
      </c>
      <c r="AF62" s="26">
        <f t="shared" si="97"/>
        <v>1715.6528518518517</v>
      </c>
      <c r="AG62" s="26">
        <f t="shared" si="82"/>
        <v>8560</v>
      </c>
      <c r="AH62" s="26">
        <f t="shared" si="83"/>
        <v>9226.7999999999993</v>
      </c>
      <c r="AI62" s="26">
        <f t="shared" si="84"/>
        <v>11933.199999999999</v>
      </c>
      <c r="AJ62" s="26">
        <f t="shared" si="85"/>
        <v>13746.800000000001</v>
      </c>
      <c r="AK62" s="26">
        <f t="shared" si="86"/>
        <v>17786.8</v>
      </c>
      <c r="AL62" s="26">
        <f t="shared" si="87"/>
        <v>8653.2000000000007</v>
      </c>
      <c r="AM62" s="26">
        <f t="shared" si="87"/>
        <v>8653.2000000000007</v>
      </c>
      <c r="AN62" s="26">
        <f t="shared" si="88"/>
        <v>12413.199999999999</v>
      </c>
      <c r="AO62" s="26">
        <f t="shared" si="89"/>
        <v>14053.199999999999</v>
      </c>
      <c r="AP62" s="26">
        <f t="shared" si="90"/>
        <v>16813.2</v>
      </c>
      <c r="AQ62" s="26">
        <f t="shared" si="91"/>
        <v>8946.7999999999993</v>
      </c>
      <c r="AR62" s="26">
        <f t="shared" si="92"/>
        <v>10200</v>
      </c>
      <c r="AS62" s="26">
        <f t="shared" si="93"/>
        <v>13026.800000000001</v>
      </c>
      <c r="AT62" s="26">
        <f t="shared" si="94"/>
        <v>17453.2</v>
      </c>
      <c r="AW62" s="26">
        <f t="shared" si="95"/>
        <v>442.72</v>
      </c>
      <c r="AZ62" s="26">
        <f t="shared" ref="AZ62:AZ65" si="99">200*85</f>
        <v>17000</v>
      </c>
    </row>
    <row r="63" spans="1:52" x14ac:dyDescent="0.25">
      <c r="A63" s="187"/>
      <c r="B63" t="s">
        <v>86</v>
      </c>
      <c r="C63" s="2">
        <v>446</v>
      </c>
      <c r="D63" s="1">
        <v>20</v>
      </c>
      <c r="E63" s="1">
        <v>3</v>
      </c>
      <c r="F63" s="3">
        <f t="shared" si="29"/>
        <v>8920</v>
      </c>
      <c r="G63" s="3">
        <f t="shared" si="30"/>
        <v>991.11111111111109</v>
      </c>
      <c r="H63" s="2">
        <f t="shared" si="31"/>
        <v>82.592592592592581</v>
      </c>
      <c r="I63" s="1">
        <v>110</v>
      </c>
      <c r="J63" s="1">
        <f t="shared" si="98"/>
        <v>170</v>
      </c>
      <c r="K63" s="1" t="s">
        <v>61</v>
      </c>
      <c r="O63" s="3"/>
      <c r="Q63" s="1">
        <v>1</v>
      </c>
      <c r="S63" s="10">
        <f t="shared" si="96"/>
        <v>27256.100000000002</v>
      </c>
      <c r="W63" s="10">
        <f>G63*10.13</f>
        <v>10039.955555555556</v>
      </c>
      <c r="X63" s="10">
        <f>G63*14.25</f>
        <v>14123.333333333332</v>
      </c>
      <c r="Y63" s="10">
        <f>G63*17.03</f>
        <v>16878.622222222224</v>
      </c>
      <c r="Z63" s="10">
        <f>G63*6.83</f>
        <v>6769.2888888888892</v>
      </c>
      <c r="AA63" s="10">
        <f>(C63/5280)*5432</f>
        <v>458.83939393939397</v>
      </c>
      <c r="AD63" s="26">
        <f t="shared" si="81"/>
        <v>227</v>
      </c>
      <c r="AE63" s="10">
        <v>4333</v>
      </c>
      <c r="AF63" s="26">
        <f t="shared" si="97"/>
        <v>681.37237037037039</v>
      </c>
      <c r="AG63" s="26">
        <f t="shared" si="82"/>
        <v>8560</v>
      </c>
      <c r="AH63" s="26">
        <f t="shared" si="83"/>
        <v>9226.7999999999993</v>
      </c>
      <c r="AI63" s="26">
        <f t="shared" si="84"/>
        <v>11933.199999999999</v>
      </c>
      <c r="AJ63" s="26">
        <f t="shared" si="85"/>
        <v>13746.800000000001</v>
      </c>
      <c r="AK63" s="26">
        <f t="shared" si="86"/>
        <v>17786.8</v>
      </c>
      <c r="AL63" s="26">
        <f t="shared" si="87"/>
        <v>8653.2000000000007</v>
      </c>
      <c r="AM63" s="26">
        <f t="shared" si="87"/>
        <v>8653.2000000000007</v>
      </c>
      <c r="AN63" s="26">
        <f t="shared" si="88"/>
        <v>12413.199999999999</v>
      </c>
      <c r="AO63" s="26">
        <f t="shared" si="89"/>
        <v>14053.199999999999</v>
      </c>
      <c r="AP63" s="26">
        <f t="shared" si="90"/>
        <v>16813.2</v>
      </c>
      <c r="AQ63" s="26">
        <f t="shared" si="91"/>
        <v>8946.7999999999993</v>
      </c>
      <c r="AR63" s="26">
        <f t="shared" si="92"/>
        <v>10200</v>
      </c>
      <c r="AS63" s="26">
        <f t="shared" si="93"/>
        <v>13026.800000000001</v>
      </c>
      <c r="AT63" s="26">
        <f t="shared" si="94"/>
        <v>17453.2</v>
      </c>
      <c r="AW63" s="26">
        <f t="shared" si="95"/>
        <v>442.72</v>
      </c>
      <c r="AZ63" s="26">
        <f t="shared" si="99"/>
        <v>17000</v>
      </c>
    </row>
    <row r="64" spans="1:52" x14ac:dyDescent="0.25">
      <c r="A64" s="187"/>
      <c r="B64" t="s">
        <v>87</v>
      </c>
      <c r="C64" s="2">
        <v>446</v>
      </c>
      <c r="D64" s="1">
        <v>20</v>
      </c>
      <c r="E64" s="1">
        <v>3</v>
      </c>
      <c r="F64" s="3">
        <f t="shared" si="29"/>
        <v>8920</v>
      </c>
      <c r="G64" s="3">
        <f t="shared" si="30"/>
        <v>991.11111111111109</v>
      </c>
      <c r="H64" s="2">
        <f t="shared" si="31"/>
        <v>82.592592592592581</v>
      </c>
      <c r="I64" s="1">
        <v>110</v>
      </c>
      <c r="J64" s="1">
        <f t="shared" si="98"/>
        <v>170</v>
      </c>
      <c r="K64" s="1" t="s">
        <v>61</v>
      </c>
      <c r="O64" s="3"/>
      <c r="Q64" s="1">
        <v>1</v>
      </c>
      <c r="S64" s="10">
        <f t="shared" si="96"/>
        <v>27256.100000000002</v>
      </c>
      <c r="W64" s="10">
        <f>G64*10.13</f>
        <v>10039.955555555556</v>
      </c>
      <c r="X64" s="10">
        <f>G64*14.25</f>
        <v>14123.333333333332</v>
      </c>
      <c r="Y64" s="10">
        <f>G64*17.03</f>
        <v>16878.622222222224</v>
      </c>
      <c r="Z64" s="10">
        <f>G64*6.83</f>
        <v>6769.2888888888892</v>
      </c>
      <c r="AA64" s="10">
        <f>(C64/5280)*5432</f>
        <v>458.83939393939397</v>
      </c>
      <c r="AD64" s="26">
        <f t="shared" si="81"/>
        <v>227</v>
      </c>
      <c r="AE64" s="10">
        <v>4333</v>
      </c>
      <c r="AF64" s="26">
        <f t="shared" si="97"/>
        <v>681.37237037037039</v>
      </c>
      <c r="AG64" s="26">
        <f t="shared" si="82"/>
        <v>8560</v>
      </c>
      <c r="AH64" s="26">
        <f t="shared" si="83"/>
        <v>9226.7999999999993</v>
      </c>
      <c r="AI64" s="26">
        <f t="shared" si="84"/>
        <v>11933.199999999999</v>
      </c>
      <c r="AJ64" s="26">
        <f t="shared" si="85"/>
        <v>13746.800000000001</v>
      </c>
      <c r="AK64" s="26">
        <f t="shared" si="86"/>
        <v>17786.8</v>
      </c>
      <c r="AL64" s="26">
        <f t="shared" si="87"/>
        <v>8653.2000000000007</v>
      </c>
      <c r="AM64" s="26">
        <f t="shared" si="87"/>
        <v>8653.2000000000007</v>
      </c>
      <c r="AN64" s="26">
        <f t="shared" si="88"/>
        <v>12413.199999999999</v>
      </c>
      <c r="AO64" s="26">
        <f t="shared" si="89"/>
        <v>14053.199999999999</v>
      </c>
      <c r="AP64" s="26">
        <f t="shared" si="90"/>
        <v>16813.2</v>
      </c>
      <c r="AQ64" s="26">
        <f t="shared" si="91"/>
        <v>8946.7999999999993</v>
      </c>
      <c r="AR64" s="26">
        <f t="shared" si="92"/>
        <v>10200</v>
      </c>
      <c r="AS64" s="26">
        <f t="shared" si="93"/>
        <v>13026.800000000001</v>
      </c>
      <c r="AT64" s="26">
        <f t="shared" si="94"/>
        <v>17453.2</v>
      </c>
      <c r="AW64" s="26">
        <f t="shared" si="95"/>
        <v>442.72</v>
      </c>
      <c r="AZ64" s="26">
        <f t="shared" si="99"/>
        <v>17000</v>
      </c>
    </row>
    <row r="65" spans="1:52" x14ac:dyDescent="0.25">
      <c r="A65" s="188"/>
      <c r="B65" s="184" t="s">
        <v>26</v>
      </c>
      <c r="C65" s="2">
        <v>446</v>
      </c>
      <c r="D65" s="1">
        <v>20</v>
      </c>
      <c r="E65" s="1">
        <v>3</v>
      </c>
      <c r="F65" s="3">
        <f t="shared" si="29"/>
        <v>8920</v>
      </c>
      <c r="G65" s="3">
        <f t="shared" si="30"/>
        <v>991.11111111111109</v>
      </c>
      <c r="H65" s="2">
        <f t="shared" si="31"/>
        <v>82.592592592592581</v>
      </c>
      <c r="I65" s="1">
        <v>110</v>
      </c>
      <c r="J65" s="1">
        <f t="shared" si="98"/>
        <v>170</v>
      </c>
      <c r="K65" s="1" t="s">
        <v>61</v>
      </c>
      <c r="O65" s="3"/>
      <c r="Q65" s="1">
        <v>1</v>
      </c>
      <c r="S65" s="10">
        <f t="shared" si="96"/>
        <v>27256.100000000002</v>
      </c>
      <c r="W65" s="10">
        <f>G65*10.13</f>
        <v>10039.955555555556</v>
      </c>
      <c r="X65" s="10">
        <f>G65*14.25</f>
        <v>14123.333333333332</v>
      </c>
      <c r="Y65" s="10">
        <f>G65*17.03</f>
        <v>16878.622222222224</v>
      </c>
      <c r="Z65" s="10">
        <f>G65*6.83</f>
        <v>6769.2888888888892</v>
      </c>
      <c r="AA65" s="10">
        <f>(C65/5280)*5432</f>
        <v>458.83939393939397</v>
      </c>
      <c r="AD65" s="26">
        <f t="shared" si="81"/>
        <v>227</v>
      </c>
      <c r="AE65" s="10">
        <v>4333</v>
      </c>
      <c r="AF65" s="26">
        <f t="shared" si="97"/>
        <v>681.37237037037039</v>
      </c>
      <c r="AG65" s="26">
        <f t="shared" si="82"/>
        <v>8560</v>
      </c>
      <c r="AH65" s="26">
        <f t="shared" si="83"/>
        <v>9226.7999999999993</v>
      </c>
      <c r="AI65" s="26">
        <f t="shared" si="84"/>
        <v>11933.199999999999</v>
      </c>
      <c r="AJ65" s="26">
        <f t="shared" si="85"/>
        <v>13746.800000000001</v>
      </c>
      <c r="AK65" s="26">
        <f t="shared" si="86"/>
        <v>17786.8</v>
      </c>
      <c r="AL65" s="26">
        <f t="shared" si="87"/>
        <v>8653.2000000000007</v>
      </c>
      <c r="AM65" s="26">
        <f t="shared" si="87"/>
        <v>8653.2000000000007</v>
      </c>
      <c r="AN65" s="26">
        <f t="shared" si="88"/>
        <v>12413.199999999999</v>
      </c>
      <c r="AO65" s="26">
        <f t="shared" si="89"/>
        <v>14053.199999999999</v>
      </c>
      <c r="AP65" s="26">
        <f t="shared" si="90"/>
        <v>16813.2</v>
      </c>
      <c r="AQ65" s="26">
        <f t="shared" si="91"/>
        <v>8946.7999999999993</v>
      </c>
      <c r="AR65" s="26">
        <f t="shared" si="92"/>
        <v>10200</v>
      </c>
      <c r="AS65" s="26">
        <f t="shared" si="93"/>
        <v>13026.800000000001</v>
      </c>
      <c r="AT65" s="26">
        <f t="shared" si="94"/>
        <v>17453.2</v>
      </c>
      <c r="AW65" s="26">
        <f t="shared" si="95"/>
        <v>442.72</v>
      </c>
      <c r="AZ65" s="26">
        <f t="shared" si="99"/>
        <v>17000</v>
      </c>
    </row>
    <row r="66" spans="1:52" ht="13.5" customHeight="1" x14ac:dyDescent="0.25">
      <c r="A66" s="158" t="s">
        <v>25</v>
      </c>
      <c r="C66" s="2">
        <v>2099.89</v>
      </c>
      <c r="D66" s="1">
        <v>23</v>
      </c>
      <c r="E66" s="1">
        <v>3</v>
      </c>
      <c r="F66" s="3">
        <f t="shared" si="29"/>
        <v>48297.469999999994</v>
      </c>
      <c r="G66" s="3">
        <f t="shared" si="30"/>
        <v>5366.3855555555547</v>
      </c>
      <c r="H66" s="2">
        <f t="shared" si="31"/>
        <v>447.19879629629622</v>
      </c>
      <c r="I66" s="1">
        <v>110</v>
      </c>
      <c r="J66" s="1">
        <f t="shared" si="98"/>
        <v>890</v>
      </c>
      <c r="K66" s="1" t="s">
        <v>60</v>
      </c>
      <c r="L66" s="1">
        <v>10</v>
      </c>
      <c r="M66" s="1">
        <v>23</v>
      </c>
      <c r="N66" s="1">
        <f>L66 * M66</f>
        <v>230</v>
      </c>
      <c r="O66" s="3">
        <f>N66 / 9</f>
        <v>25.555555555555557</v>
      </c>
      <c r="Q66" s="1">
        <v>1</v>
      </c>
      <c r="S66" s="10">
        <f t="shared" si="96"/>
        <v>142693.70000000001</v>
      </c>
      <c r="T66" s="16">
        <f t="shared" ref="T66:T78" si="100">G66*4</f>
        <v>21465.542222222219</v>
      </c>
      <c r="U66" s="10">
        <f t="shared" ref="U66:U78" si="101">O66*176.67</f>
        <v>4514.8999999999996</v>
      </c>
      <c r="AD66" s="26">
        <f t="shared" si="81"/>
        <v>227</v>
      </c>
      <c r="AF66" s="26">
        <f t="shared" si="97"/>
        <v>3208.0875040740739</v>
      </c>
      <c r="AG66" s="26">
        <f t="shared" si="82"/>
        <v>8560</v>
      </c>
      <c r="AH66" s="26">
        <f t="shared" si="83"/>
        <v>9226.7999999999993</v>
      </c>
      <c r="AI66" s="26">
        <f t="shared" si="84"/>
        <v>11933.199999999999</v>
      </c>
      <c r="AJ66" s="26">
        <f t="shared" si="85"/>
        <v>13746.800000000001</v>
      </c>
      <c r="AK66" s="26">
        <f t="shared" si="86"/>
        <v>17786.8</v>
      </c>
      <c r="AL66" s="26">
        <f t="shared" si="87"/>
        <v>8653.2000000000007</v>
      </c>
      <c r="AM66" s="26">
        <f t="shared" si="87"/>
        <v>8653.2000000000007</v>
      </c>
      <c r="AN66" s="26">
        <f t="shared" si="88"/>
        <v>12413.199999999999</v>
      </c>
      <c r="AO66" s="26">
        <f t="shared" si="89"/>
        <v>14053.199999999999</v>
      </c>
      <c r="AP66" s="26">
        <f t="shared" si="90"/>
        <v>16813.2</v>
      </c>
      <c r="AQ66" s="26">
        <f t="shared" si="91"/>
        <v>8946.7999999999993</v>
      </c>
      <c r="AR66" s="26">
        <f t="shared" si="92"/>
        <v>10200</v>
      </c>
      <c r="AS66" s="26">
        <f t="shared" si="93"/>
        <v>13026.800000000001</v>
      </c>
      <c r="AT66" s="26">
        <f t="shared" si="94"/>
        <v>17453.2</v>
      </c>
      <c r="AW66" s="26">
        <f t="shared" si="95"/>
        <v>442.72</v>
      </c>
    </row>
    <row r="67" spans="1:52" ht="13.5" customHeight="1" x14ac:dyDescent="0.25">
      <c r="A67" s="158"/>
      <c r="B67" t="s">
        <v>27</v>
      </c>
      <c r="F67" s="3"/>
      <c r="G67" s="3"/>
      <c r="H67" s="2"/>
      <c r="L67" s="1">
        <v>95</v>
      </c>
      <c r="M67" s="1">
        <v>10</v>
      </c>
      <c r="N67" s="1">
        <f>L67 * M67</f>
        <v>950</v>
      </c>
      <c r="O67" s="3">
        <f>N67 / 9</f>
        <v>105.55555555555556</v>
      </c>
      <c r="S67" s="10">
        <f t="shared" si="96"/>
        <v>0</v>
      </c>
      <c r="T67" s="16">
        <f t="shared" si="100"/>
        <v>0</v>
      </c>
      <c r="U67" s="10">
        <f t="shared" si="101"/>
        <v>18648.5</v>
      </c>
      <c r="AF67" s="26">
        <f t="shared" si="97"/>
        <v>0</v>
      </c>
      <c r="AG67"/>
      <c r="AH67"/>
      <c r="AI67"/>
      <c r="AJ67"/>
      <c r="AK67"/>
      <c r="AL67"/>
      <c r="AM67"/>
      <c r="AN67"/>
      <c r="AO67"/>
      <c r="AP67"/>
      <c r="AW67"/>
    </row>
    <row r="68" spans="1:52" x14ac:dyDescent="0.25">
      <c r="A68" s="158"/>
      <c r="B68" t="s">
        <v>28</v>
      </c>
      <c r="C68" s="2">
        <v>544.67999999999995</v>
      </c>
      <c r="D68" s="1">
        <v>23</v>
      </c>
      <c r="E68" s="1">
        <v>3</v>
      </c>
      <c r="F68" s="3">
        <f t="shared" si="29"/>
        <v>12527.64</v>
      </c>
      <c r="G68" s="3">
        <f t="shared" si="30"/>
        <v>1391.96</v>
      </c>
      <c r="H68" s="2">
        <f t="shared" si="31"/>
        <v>115.99666666666667</v>
      </c>
      <c r="I68" s="1">
        <v>110</v>
      </c>
      <c r="J68" s="1">
        <f t="shared" si="98"/>
        <v>230</v>
      </c>
      <c r="K68" s="1" t="s">
        <v>60</v>
      </c>
      <c r="Q68" s="1">
        <v>1</v>
      </c>
      <c r="S68" s="10">
        <f t="shared" si="96"/>
        <v>36875.9</v>
      </c>
      <c r="T68" s="16">
        <f t="shared" si="100"/>
        <v>5567.84</v>
      </c>
      <c r="U68" s="10">
        <f t="shared" si="101"/>
        <v>0</v>
      </c>
      <c r="AD68" s="26">
        <f t="shared" ref="AD68:AD70" si="102">Q68*227</f>
        <v>227</v>
      </c>
      <c r="AF68" s="26">
        <f t="shared" si="97"/>
        <v>832.12982666666664</v>
      </c>
      <c r="AG68" s="26">
        <f t="shared" ref="AG68:AG70" si="103">40*214</f>
        <v>8560</v>
      </c>
      <c r="AH68" s="26">
        <f t="shared" ref="AH68:AH70" si="104">40*230.67</f>
        <v>9226.7999999999993</v>
      </c>
      <c r="AI68" s="26">
        <f t="shared" ref="AI68:AI70" si="105">40*298.33</f>
        <v>11933.199999999999</v>
      </c>
      <c r="AJ68" s="26">
        <f t="shared" ref="AJ68:AJ70" si="106">40*343.67</f>
        <v>13746.800000000001</v>
      </c>
      <c r="AK68" s="26">
        <f t="shared" ref="AK68:AK70" si="107">40*444.67</f>
        <v>17786.8</v>
      </c>
      <c r="AL68" s="26">
        <f t="shared" ref="AL68:AM70" si="108">40*216.33</f>
        <v>8653.2000000000007</v>
      </c>
      <c r="AM68" s="26">
        <f t="shared" si="108"/>
        <v>8653.2000000000007</v>
      </c>
      <c r="AN68" s="26">
        <f t="shared" ref="AN68:AN70" si="109">40*310.33</f>
        <v>12413.199999999999</v>
      </c>
      <c r="AO68" s="26">
        <f t="shared" ref="AO68:AO70" si="110">40*351.33</f>
        <v>14053.199999999999</v>
      </c>
      <c r="AP68" s="26">
        <f t="shared" ref="AP68:AP70" si="111">40*420.33</f>
        <v>16813.2</v>
      </c>
      <c r="AQ68" s="26">
        <f t="shared" ref="AQ68:AQ70" si="112">40*223.67</f>
        <v>8946.7999999999993</v>
      </c>
      <c r="AR68" s="26">
        <f t="shared" ref="AR68:AR70" si="113">40*255</f>
        <v>10200</v>
      </c>
      <c r="AS68" s="26">
        <f t="shared" ref="AS68:AS70" si="114">40*325.67</f>
        <v>13026.800000000001</v>
      </c>
      <c r="AT68" s="26">
        <f t="shared" ref="AT68:AT70" si="115">40*436.33</f>
        <v>17453.2</v>
      </c>
      <c r="AW68" s="26">
        <f t="shared" ref="AW68:AW70" si="116">16*27.67</f>
        <v>442.72</v>
      </c>
    </row>
    <row r="69" spans="1:52" x14ac:dyDescent="0.25">
      <c r="A69" s="158"/>
      <c r="B69" t="s">
        <v>29</v>
      </c>
      <c r="C69" s="2">
        <v>284.70999999999998</v>
      </c>
      <c r="D69" s="1">
        <v>23</v>
      </c>
      <c r="E69" s="1">
        <v>3</v>
      </c>
      <c r="F69" s="3">
        <f t="shared" si="29"/>
        <v>6548.33</v>
      </c>
      <c r="G69" s="3">
        <f t="shared" si="30"/>
        <v>727.59222222222218</v>
      </c>
      <c r="H69" s="2">
        <f t="shared" si="31"/>
        <v>60.632685185185181</v>
      </c>
      <c r="I69" s="1">
        <v>110</v>
      </c>
      <c r="J69" s="1">
        <f t="shared" si="98"/>
        <v>130</v>
      </c>
      <c r="K69" s="1" t="s">
        <v>60</v>
      </c>
      <c r="L69" s="1">
        <v>12</v>
      </c>
      <c r="M69" s="1">
        <v>23</v>
      </c>
      <c r="N69" s="1">
        <f>L69 * M69</f>
        <v>276</v>
      </c>
      <c r="O69" s="3">
        <f>N69 / 9</f>
        <v>30.666666666666668</v>
      </c>
      <c r="Q69" s="1">
        <v>1</v>
      </c>
      <c r="S69" s="10">
        <f t="shared" si="96"/>
        <v>20842.900000000001</v>
      </c>
      <c r="T69" s="16">
        <f t="shared" si="100"/>
        <v>2910.3688888888887</v>
      </c>
      <c r="U69" s="10">
        <f t="shared" si="101"/>
        <v>5417.88</v>
      </c>
      <c r="AD69" s="26">
        <f t="shared" si="102"/>
        <v>227</v>
      </c>
      <c r="AF69" s="26">
        <f t="shared" si="97"/>
        <v>434.96306629629629</v>
      </c>
      <c r="AG69" s="26">
        <f t="shared" si="103"/>
        <v>8560</v>
      </c>
      <c r="AH69" s="26">
        <f t="shared" si="104"/>
        <v>9226.7999999999993</v>
      </c>
      <c r="AI69" s="26">
        <f t="shared" si="105"/>
        <v>11933.199999999999</v>
      </c>
      <c r="AJ69" s="26">
        <f t="shared" si="106"/>
        <v>13746.800000000001</v>
      </c>
      <c r="AK69" s="26">
        <f t="shared" si="107"/>
        <v>17786.8</v>
      </c>
      <c r="AL69" s="26">
        <f t="shared" si="108"/>
        <v>8653.2000000000007</v>
      </c>
      <c r="AM69" s="26">
        <f t="shared" si="108"/>
        <v>8653.2000000000007</v>
      </c>
      <c r="AN69" s="26">
        <f t="shared" si="109"/>
        <v>12413.199999999999</v>
      </c>
      <c r="AO69" s="26">
        <f t="shared" si="110"/>
        <v>14053.199999999999</v>
      </c>
      <c r="AP69" s="26">
        <f t="shared" si="111"/>
        <v>16813.2</v>
      </c>
      <c r="AQ69" s="26">
        <f t="shared" si="112"/>
        <v>8946.7999999999993</v>
      </c>
      <c r="AR69" s="26">
        <f t="shared" si="113"/>
        <v>10200</v>
      </c>
      <c r="AS69" s="26">
        <f t="shared" si="114"/>
        <v>13026.800000000001</v>
      </c>
      <c r="AT69" s="26">
        <f t="shared" si="115"/>
        <v>17453.2</v>
      </c>
      <c r="AW69" s="26">
        <f t="shared" si="116"/>
        <v>442.72</v>
      </c>
    </row>
    <row r="70" spans="1:52" x14ac:dyDescent="0.25">
      <c r="A70" s="158"/>
      <c r="B70" t="s">
        <v>31</v>
      </c>
      <c r="C70" s="2">
        <v>554.61</v>
      </c>
      <c r="D70" s="1">
        <v>23</v>
      </c>
      <c r="E70" s="1">
        <v>3</v>
      </c>
      <c r="F70" s="3">
        <f t="shared" si="29"/>
        <v>12756.03</v>
      </c>
      <c r="G70" s="3">
        <f t="shared" si="30"/>
        <v>1417.3366666666668</v>
      </c>
      <c r="H70" s="2">
        <f t="shared" si="31"/>
        <v>118.1113888888889</v>
      </c>
      <c r="I70" s="1">
        <v>110</v>
      </c>
      <c r="J70" s="1">
        <f t="shared" si="98"/>
        <v>240</v>
      </c>
      <c r="K70" s="1" t="s">
        <v>60</v>
      </c>
      <c r="L70" s="1">
        <v>36</v>
      </c>
      <c r="M70" s="1">
        <v>18</v>
      </c>
      <c r="N70" s="1">
        <f>L70 * M70</f>
        <v>648</v>
      </c>
      <c r="O70" s="3">
        <f>N70 / 9</f>
        <v>72</v>
      </c>
      <c r="Q70" s="1">
        <v>1</v>
      </c>
      <c r="S70" s="10">
        <f t="shared" si="96"/>
        <v>38479.200000000004</v>
      </c>
      <c r="T70" s="16">
        <f t="shared" si="100"/>
        <v>5669.3466666666673</v>
      </c>
      <c r="U70" s="10">
        <f t="shared" si="101"/>
        <v>12720.24</v>
      </c>
      <c r="AB70" s="26">
        <f>(283*2)*(0.167)/27*171</f>
        <v>598.6393333333333</v>
      </c>
      <c r="AC70" s="26">
        <f>(283*2)*(0.167)/27*147</f>
        <v>514.61977777777781</v>
      </c>
      <c r="AD70" s="26">
        <f t="shared" si="102"/>
        <v>227</v>
      </c>
      <c r="AF70" s="26">
        <f t="shared" si="97"/>
        <v>847.30029222222231</v>
      </c>
      <c r="AG70" s="26">
        <f t="shared" si="103"/>
        <v>8560</v>
      </c>
      <c r="AH70" s="26">
        <f t="shared" si="104"/>
        <v>9226.7999999999993</v>
      </c>
      <c r="AI70" s="26">
        <f t="shared" si="105"/>
        <v>11933.199999999999</v>
      </c>
      <c r="AJ70" s="26">
        <f t="shared" si="106"/>
        <v>13746.800000000001</v>
      </c>
      <c r="AK70" s="26">
        <f t="shared" si="107"/>
        <v>17786.8</v>
      </c>
      <c r="AL70" s="26">
        <f t="shared" si="108"/>
        <v>8653.2000000000007</v>
      </c>
      <c r="AM70" s="26">
        <f t="shared" si="108"/>
        <v>8653.2000000000007</v>
      </c>
      <c r="AN70" s="26">
        <f t="shared" si="109"/>
        <v>12413.199999999999</v>
      </c>
      <c r="AO70" s="26">
        <f t="shared" si="110"/>
        <v>14053.199999999999</v>
      </c>
      <c r="AP70" s="26">
        <f t="shared" si="111"/>
        <v>16813.2</v>
      </c>
      <c r="AQ70" s="26">
        <f t="shared" si="112"/>
        <v>8946.7999999999993</v>
      </c>
      <c r="AR70" s="26">
        <f t="shared" si="113"/>
        <v>10200</v>
      </c>
      <c r="AS70" s="26">
        <f t="shared" si="114"/>
        <v>13026.800000000001</v>
      </c>
      <c r="AT70" s="26">
        <f t="shared" si="115"/>
        <v>17453.2</v>
      </c>
      <c r="AW70" s="26">
        <f t="shared" si="116"/>
        <v>442.72</v>
      </c>
    </row>
    <row r="71" spans="1:52" x14ac:dyDescent="0.25">
      <c r="A71" s="158"/>
      <c r="B71" t="s">
        <v>30</v>
      </c>
      <c r="F71" s="3"/>
      <c r="G71" s="3"/>
      <c r="H71" s="2"/>
      <c r="L71" s="1">
        <v>10</v>
      </c>
      <c r="M71" s="1">
        <v>23</v>
      </c>
      <c r="N71" s="1">
        <f>L71 * M71</f>
        <v>230</v>
      </c>
      <c r="O71" s="3">
        <f>N71 / 9</f>
        <v>25.555555555555557</v>
      </c>
      <c r="S71" s="10">
        <f t="shared" si="96"/>
        <v>0</v>
      </c>
      <c r="T71" s="16">
        <f t="shared" si="100"/>
        <v>0</v>
      </c>
      <c r="U71" s="10">
        <f t="shared" si="101"/>
        <v>4514.8999999999996</v>
      </c>
      <c r="AF71" s="26">
        <f t="shared" si="97"/>
        <v>0</v>
      </c>
      <c r="AG71"/>
      <c r="AH71"/>
      <c r="AI71"/>
      <c r="AJ71"/>
      <c r="AK71"/>
      <c r="AL71"/>
      <c r="AM71"/>
      <c r="AN71"/>
      <c r="AO71"/>
      <c r="AP71"/>
      <c r="AW71"/>
    </row>
    <row r="72" spans="1:52" x14ac:dyDescent="0.25">
      <c r="A72" s="158"/>
      <c r="B72" t="s">
        <v>115</v>
      </c>
      <c r="C72" s="2">
        <v>930.79</v>
      </c>
      <c r="D72" s="1">
        <v>23</v>
      </c>
      <c r="E72" s="1">
        <v>3</v>
      </c>
      <c r="F72" s="3">
        <f t="shared" si="29"/>
        <v>21408.17</v>
      </c>
      <c r="G72" s="3">
        <f t="shared" si="30"/>
        <v>2378.6855555555553</v>
      </c>
      <c r="H72" s="2">
        <f t="shared" si="31"/>
        <v>198.22379629629626</v>
      </c>
      <c r="I72" s="1">
        <v>110</v>
      </c>
      <c r="J72" s="1">
        <f t="shared" si="98"/>
        <v>400</v>
      </c>
      <c r="K72" s="1" t="s">
        <v>60</v>
      </c>
      <c r="Q72" s="1">
        <v>1</v>
      </c>
      <c r="S72" s="10">
        <f t="shared" si="96"/>
        <v>64132.000000000007</v>
      </c>
      <c r="T72" s="16">
        <f t="shared" si="100"/>
        <v>9514.7422222222212</v>
      </c>
      <c r="U72" s="10">
        <f t="shared" si="101"/>
        <v>0</v>
      </c>
      <c r="AD72" s="26">
        <f t="shared" ref="AD72" si="117">Q72*227</f>
        <v>227</v>
      </c>
      <c r="AF72" s="26">
        <f t="shared" si="97"/>
        <v>1422.0058040740744</v>
      </c>
      <c r="AG72" s="26">
        <f t="shared" ref="AG72" si="118">40*214</f>
        <v>8560</v>
      </c>
      <c r="AH72" s="26">
        <f t="shared" ref="AH72" si="119">40*230.67</f>
        <v>9226.7999999999993</v>
      </c>
      <c r="AI72" s="26">
        <f t="shared" ref="AI72" si="120">40*298.33</f>
        <v>11933.199999999999</v>
      </c>
      <c r="AJ72" s="26">
        <f t="shared" ref="AJ72" si="121">40*343.67</f>
        <v>13746.800000000001</v>
      </c>
      <c r="AK72" s="26">
        <f t="shared" ref="AK72" si="122">40*444.67</f>
        <v>17786.8</v>
      </c>
      <c r="AL72" s="26">
        <f t="shared" ref="AL72:AM72" si="123">40*216.33</f>
        <v>8653.2000000000007</v>
      </c>
      <c r="AM72" s="26">
        <f t="shared" si="123"/>
        <v>8653.2000000000007</v>
      </c>
      <c r="AN72" s="26">
        <f t="shared" ref="AN72" si="124">40*310.33</f>
        <v>12413.199999999999</v>
      </c>
      <c r="AO72" s="26">
        <f t="shared" ref="AO72" si="125">40*351.33</f>
        <v>14053.199999999999</v>
      </c>
      <c r="AP72" s="26">
        <f t="shared" ref="AP72" si="126">40*420.33</f>
        <v>16813.2</v>
      </c>
      <c r="AQ72" s="26">
        <f t="shared" ref="AQ72" si="127">40*223.67</f>
        <v>8946.7999999999993</v>
      </c>
      <c r="AR72" s="26">
        <f t="shared" ref="AR72" si="128">40*255</f>
        <v>10200</v>
      </c>
      <c r="AS72" s="26">
        <f t="shared" ref="AS72" si="129">40*325.67</f>
        <v>13026.800000000001</v>
      </c>
      <c r="AT72" s="26">
        <f t="shared" ref="AT72" si="130">40*436.33</f>
        <v>17453.2</v>
      </c>
      <c r="AW72" s="26">
        <f t="shared" ref="AW72" si="131">16*27.67</f>
        <v>442.72</v>
      </c>
    </row>
    <row r="73" spans="1:52" x14ac:dyDescent="0.25">
      <c r="A73" s="158"/>
      <c r="B73" t="s">
        <v>32</v>
      </c>
      <c r="F73" s="3"/>
      <c r="G73" s="3"/>
      <c r="H73" s="2"/>
      <c r="L73" s="1">
        <v>52</v>
      </c>
      <c r="M73" s="1">
        <v>4</v>
      </c>
      <c r="N73" s="1">
        <f>L73 * M73</f>
        <v>208</v>
      </c>
      <c r="O73" s="3">
        <f>N73 / 9</f>
        <v>23.111111111111111</v>
      </c>
      <c r="P73" s="1">
        <v>57</v>
      </c>
      <c r="S73" s="10">
        <f t="shared" si="96"/>
        <v>0</v>
      </c>
      <c r="T73" s="16">
        <f t="shared" si="100"/>
        <v>0</v>
      </c>
      <c r="U73" s="10">
        <f t="shared" si="101"/>
        <v>4083.0399999999995</v>
      </c>
      <c r="V73" s="10">
        <f>P73*135.67</f>
        <v>7733.19</v>
      </c>
      <c r="AF73" s="26">
        <f t="shared" si="97"/>
        <v>0</v>
      </c>
      <c r="AG73"/>
      <c r="AH73"/>
      <c r="AI73"/>
      <c r="AJ73"/>
      <c r="AK73"/>
      <c r="AL73"/>
      <c r="AM73"/>
      <c r="AN73"/>
      <c r="AO73"/>
      <c r="AP73"/>
      <c r="AW73"/>
    </row>
    <row r="74" spans="1:52" x14ac:dyDescent="0.25">
      <c r="A74" s="158"/>
      <c r="B74" t="s">
        <v>33</v>
      </c>
      <c r="F74" s="3"/>
      <c r="G74" s="3"/>
      <c r="H74" s="2"/>
      <c r="L74" s="1">
        <v>24</v>
      </c>
      <c r="M74" s="1">
        <v>8</v>
      </c>
      <c r="N74" s="1">
        <f>L74 * M74</f>
        <v>192</v>
      </c>
      <c r="O74" s="3">
        <f>N74 / 9</f>
        <v>21.333333333333332</v>
      </c>
      <c r="S74" s="10">
        <f t="shared" si="96"/>
        <v>0</v>
      </c>
      <c r="T74" s="16">
        <f t="shared" si="100"/>
        <v>0</v>
      </c>
      <c r="U74" s="10">
        <f t="shared" si="101"/>
        <v>3768.9599999999996</v>
      </c>
      <c r="AF74" s="26">
        <f t="shared" si="97"/>
        <v>0</v>
      </c>
      <c r="AG74"/>
      <c r="AH74"/>
      <c r="AI74"/>
      <c r="AJ74"/>
      <c r="AK74"/>
      <c r="AL74"/>
      <c r="AM74"/>
      <c r="AN74"/>
      <c r="AO74"/>
      <c r="AP74"/>
      <c r="AW74"/>
    </row>
    <row r="75" spans="1:52" x14ac:dyDescent="0.25">
      <c r="A75" s="158"/>
      <c r="B75" t="s">
        <v>34</v>
      </c>
      <c r="F75" s="3"/>
      <c r="G75" s="3"/>
      <c r="H75" s="2"/>
      <c r="L75" s="1">
        <v>21</v>
      </c>
      <c r="M75" s="1">
        <v>4</v>
      </c>
      <c r="N75" s="1">
        <f>L75 * M75</f>
        <v>84</v>
      </c>
      <c r="O75" s="3">
        <f>N75 / 9</f>
        <v>9.3333333333333339</v>
      </c>
      <c r="P75" s="1">
        <v>21</v>
      </c>
      <c r="S75" s="10">
        <f t="shared" si="96"/>
        <v>0</v>
      </c>
      <c r="T75" s="16">
        <f t="shared" si="100"/>
        <v>0</v>
      </c>
      <c r="U75" s="10">
        <f t="shared" si="101"/>
        <v>1648.92</v>
      </c>
      <c r="V75" s="10">
        <f>P75*135.67</f>
        <v>2849.0699999999997</v>
      </c>
      <c r="AF75" s="26">
        <f t="shared" si="97"/>
        <v>0</v>
      </c>
      <c r="AG75"/>
      <c r="AH75"/>
      <c r="AI75"/>
      <c r="AJ75"/>
      <c r="AK75"/>
      <c r="AL75"/>
      <c r="AM75"/>
      <c r="AN75"/>
      <c r="AO75"/>
      <c r="AP75"/>
      <c r="AW75"/>
    </row>
    <row r="76" spans="1:52" x14ac:dyDescent="0.25">
      <c r="A76" s="158"/>
      <c r="B76" t="s">
        <v>35</v>
      </c>
      <c r="C76" s="2">
        <v>489.8</v>
      </c>
      <c r="D76" s="1">
        <v>24</v>
      </c>
      <c r="E76" s="1">
        <v>3</v>
      </c>
      <c r="F76" s="3">
        <f t="shared" si="29"/>
        <v>11755.2</v>
      </c>
      <c r="G76" s="3">
        <f t="shared" si="30"/>
        <v>1306.1333333333334</v>
      </c>
      <c r="H76" s="2">
        <f t="shared" si="31"/>
        <v>108.84444444444445</v>
      </c>
      <c r="I76" s="1">
        <v>110</v>
      </c>
      <c r="J76" s="1">
        <f t="shared" si="98"/>
        <v>220</v>
      </c>
      <c r="K76" s="1" t="s">
        <v>60</v>
      </c>
      <c r="Q76" s="1">
        <v>1</v>
      </c>
      <c r="S76" s="10">
        <f t="shared" si="96"/>
        <v>35272.600000000006</v>
      </c>
      <c r="T76" s="16">
        <f t="shared" si="100"/>
        <v>5224.5333333333338</v>
      </c>
      <c r="U76" s="10">
        <f t="shared" si="101"/>
        <v>0</v>
      </c>
      <c r="AD76" s="26">
        <f t="shared" ref="AD76:AD77" si="132">Q76*227</f>
        <v>227</v>
      </c>
      <c r="AF76" s="26">
        <f t="shared" si="97"/>
        <v>748.28741481481495</v>
      </c>
      <c r="AG76" s="26">
        <f t="shared" ref="AG76:AG77" si="133">40*214</f>
        <v>8560</v>
      </c>
      <c r="AH76" s="26">
        <f t="shared" ref="AH76:AH77" si="134">40*230.67</f>
        <v>9226.7999999999993</v>
      </c>
      <c r="AI76" s="26">
        <f t="shared" ref="AI76:AI77" si="135">40*298.33</f>
        <v>11933.199999999999</v>
      </c>
      <c r="AJ76" s="26">
        <f t="shared" ref="AJ76:AJ77" si="136">40*343.67</f>
        <v>13746.800000000001</v>
      </c>
      <c r="AK76" s="26">
        <f t="shared" ref="AK76:AK77" si="137">40*444.67</f>
        <v>17786.8</v>
      </c>
      <c r="AL76" s="26">
        <f t="shared" ref="AL76:AM77" si="138">40*216.33</f>
        <v>8653.2000000000007</v>
      </c>
      <c r="AM76" s="26">
        <f t="shared" si="138"/>
        <v>8653.2000000000007</v>
      </c>
      <c r="AN76" s="26">
        <f t="shared" ref="AN76:AN77" si="139">40*310.33</f>
        <v>12413.199999999999</v>
      </c>
      <c r="AO76" s="26">
        <f t="shared" ref="AO76:AO77" si="140">40*351.33</f>
        <v>14053.199999999999</v>
      </c>
      <c r="AP76" s="26">
        <f t="shared" ref="AP76:AP77" si="141">40*420.33</f>
        <v>16813.2</v>
      </c>
      <c r="AQ76" s="26">
        <f t="shared" ref="AQ76:AQ77" si="142">40*223.67</f>
        <v>8946.7999999999993</v>
      </c>
      <c r="AR76" s="26">
        <f t="shared" ref="AR76:AR77" si="143">40*255</f>
        <v>10200</v>
      </c>
      <c r="AS76" s="26">
        <f t="shared" ref="AS76:AS77" si="144">40*325.67</f>
        <v>13026.800000000001</v>
      </c>
      <c r="AT76" s="26">
        <f t="shared" ref="AT76:AT77" si="145">40*436.33</f>
        <v>17453.2</v>
      </c>
      <c r="AW76" s="26">
        <f t="shared" ref="AW76:AW77" si="146">16*27.67</f>
        <v>442.72</v>
      </c>
    </row>
    <row r="77" spans="1:52" x14ac:dyDescent="0.25">
      <c r="A77" s="158"/>
      <c r="B77" t="s">
        <v>36</v>
      </c>
      <c r="C77" s="2">
        <v>352.27</v>
      </c>
      <c r="D77" s="1">
        <v>24</v>
      </c>
      <c r="E77" s="1">
        <v>3</v>
      </c>
      <c r="F77" s="3">
        <f t="shared" si="29"/>
        <v>8454.48</v>
      </c>
      <c r="G77" s="3">
        <f t="shared" si="30"/>
        <v>939.38666666666666</v>
      </c>
      <c r="H77" s="2">
        <f t="shared" si="31"/>
        <v>78.282222222222217</v>
      </c>
      <c r="I77" s="1">
        <v>110</v>
      </c>
      <c r="J77" s="1">
        <f t="shared" si="98"/>
        <v>160</v>
      </c>
      <c r="K77" s="1" t="s">
        <v>60</v>
      </c>
      <c r="L77" s="1">
        <v>25</v>
      </c>
      <c r="M77" s="1">
        <v>11</v>
      </c>
      <c r="N77" s="1">
        <f>L77 * M77</f>
        <v>275</v>
      </c>
      <c r="O77" s="3">
        <f>N77 / 9</f>
        <v>30.555555555555557</v>
      </c>
      <c r="Q77" s="1">
        <v>1</v>
      </c>
      <c r="S77" s="10">
        <f t="shared" si="96"/>
        <v>25652.800000000003</v>
      </c>
      <c r="T77" s="16">
        <f t="shared" si="100"/>
        <v>3757.5466666666666</v>
      </c>
      <c r="U77" s="10">
        <f t="shared" si="101"/>
        <v>5398.25</v>
      </c>
      <c r="AD77" s="26">
        <f t="shared" si="132"/>
        <v>227</v>
      </c>
      <c r="AF77" s="26">
        <f t="shared" si="97"/>
        <v>538.17723074074081</v>
      </c>
      <c r="AG77" s="26">
        <f t="shared" si="133"/>
        <v>8560</v>
      </c>
      <c r="AH77" s="26">
        <f t="shared" si="134"/>
        <v>9226.7999999999993</v>
      </c>
      <c r="AI77" s="26">
        <f t="shared" si="135"/>
        <v>11933.199999999999</v>
      </c>
      <c r="AJ77" s="26">
        <f t="shared" si="136"/>
        <v>13746.800000000001</v>
      </c>
      <c r="AK77" s="26">
        <f t="shared" si="137"/>
        <v>17786.8</v>
      </c>
      <c r="AL77" s="26">
        <f t="shared" si="138"/>
        <v>8653.2000000000007</v>
      </c>
      <c r="AM77" s="26">
        <f t="shared" si="138"/>
        <v>8653.2000000000007</v>
      </c>
      <c r="AN77" s="26">
        <f t="shared" si="139"/>
        <v>12413.199999999999</v>
      </c>
      <c r="AO77" s="26">
        <f t="shared" si="140"/>
        <v>14053.199999999999</v>
      </c>
      <c r="AP77" s="26">
        <f t="shared" si="141"/>
        <v>16813.2</v>
      </c>
      <c r="AQ77" s="26">
        <f t="shared" si="142"/>
        <v>8946.7999999999993</v>
      </c>
      <c r="AR77" s="26">
        <f t="shared" si="143"/>
        <v>10200</v>
      </c>
      <c r="AS77" s="26">
        <f t="shared" si="144"/>
        <v>13026.800000000001</v>
      </c>
      <c r="AT77" s="26">
        <f t="shared" si="145"/>
        <v>17453.2</v>
      </c>
      <c r="AW77" s="26">
        <f t="shared" si="146"/>
        <v>442.72</v>
      </c>
    </row>
    <row r="78" spans="1:52" x14ac:dyDescent="0.25">
      <c r="A78" s="158"/>
      <c r="B78" t="s">
        <v>37</v>
      </c>
      <c r="F78" s="3"/>
      <c r="G78" s="3"/>
      <c r="H78" s="2"/>
      <c r="L78" s="1">
        <v>60</v>
      </c>
      <c r="M78" s="1">
        <v>14</v>
      </c>
      <c r="N78" s="1">
        <f>L78 * M78</f>
        <v>840</v>
      </c>
      <c r="O78" s="3">
        <f>N78 / 9</f>
        <v>93.333333333333329</v>
      </c>
      <c r="S78" s="10">
        <f t="shared" si="96"/>
        <v>0</v>
      </c>
      <c r="T78" s="16">
        <f t="shared" si="100"/>
        <v>0</v>
      </c>
      <c r="U78" s="10">
        <f t="shared" si="101"/>
        <v>16489.199999999997</v>
      </c>
      <c r="AF78" s="26">
        <f t="shared" si="97"/>
        <v>0</v>
      </c>
      <c r="AG78"/>
      <c r="AH78"/>
      <c r="AI78"/>
      <c r="AJ78"/>
      <c r="AK78"/>
      <c r="AL78"/>
      <c r="AM78"/>
      <c r="AN78"/>
      <c r="AO78"/>
      <c r="AP78"/>
      <c r="AW78"/>
    </row>
    <row r="79" spans="1:52" s="19" customFormat="1" x14ac:dyDescent="0.25">
      <c r="A79" s="18"/>
      <c r="C79" s="33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20"/>
      <c r="P79" s="32"/>
      <c r="Q79" s="32"/>
      <c r="S79" s="21"/>
      <c r="T79" s="21"/>
      <c r="U79" s="21"/>
      <c r="V79" s="21"/>
      <c r="Y79" s="21"/>
      <c r="Z79" s="21"/>
      <c r="AA79" s="21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W79" s="35"/>
    </row>
    <row r="80" spans="1:52" x14ac:dyDescent="0.25">
      <c r="A80" s="7"/>
    </row>
    <row r="81" spans="1:7" x14ac:dyDescent="0.25">
      <c r="C81" s="29"/>
      <c r="D81" s="30"/>
    </row>
    <row r="82" spans="1:7" x14ac:dyDescent="0.25">
      <c r="A82" s="8"/>
      <c r="G82" s="1" t="e">
        <f>#REF!*4</f>
        <v>#REF!</v>
      </c>
    </row>
  </sheetData>
  <mergeCells count="8">
    <mergeCell ref="S1:AW1"/>
    <mergeCell ref="A3:A12"/>
    <mergeCell ref="A66:A78"/>
    <mergeCell ref="C1:K1"/>
    <mergeCell ref="L1:O1"/>
    <mergeCell ref="Q1:R1"/>
    <mergeCell ref="A33:A65"/>
    <mergeCell ref="A13:A32"/>
  </mergeCells>
  <printOptions gridLines="1"/>
  <pageMargins left="0.2" right="0.2" top="0.5" bottom="0.5" header="0.3" footer="0"/>
  <pageSetup fitToHeight="0" orientation="landscape" r:id="rId1"/>
  <headerFooter>
    <oddFooter>&amp;L&amp;9&amp;D
&amp;F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7D68B2-4C4E-441C-8C6D-D7009F3D9D09}">
          <x14:formula1>
            <xm:f>Reference!$A$2:$A$3</xm:f>
          </x14:formula1>
          <xm:sqref>K3:K78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Data</vt:lpstr>
      <vt:lpstr>SOQ</vt:lpstr>
      <vt:lpstr>Map</vt:lpstr>
      <vt:lpstr>Reference</vt:lpstr>
      <vt:lpstr>Data (2)</vt:lpstr>
      <vt:lpstr>Data!Print_Area</vt:lpstr>
      <vt:lpstr>'Data (2)'!Print_Area</vt:lpstr>
      <vt:lpstr>'Data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Treg Cunningham</dc:creator>
  <cp:lastModifiedBy>Devin Russ</cp:lastModifiedBy>
  <cp:lastPrinted>2024-03-19T14:13:18Z</cp:lastPrinted>
  <dcterms:created xsi:type="dcterms:W3CDTF">2023-08-04T17:35:38Z</dcterms:created>
  <dcterms:modified xsi:type="dcterms:W3CDTF">2024-03-19T14:57:12Z</dcterms:modified>
</cp:coreProperties>
</file>